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4 рік\сайт\"/>
    </mc:Choice>
  </mc:AlternateContent>
  <bookViews>
    <workbookView xWindow="0" yWindow="0" windowWidth="28800" windowHeight="11880" tabRatio="774" activeTab="1"/>
  </bookViews>
  <sheets>
    <sheet name="2023" sheetId="22" r:id="rId1"/>
    <sheet name="2023 (2)" sheetId="23" r:id="rId2"/>
  </sheets>
  <definedNames>
    <definedName name="_xlnm.Print_Titles" localSheetId="0">'2023'!$3:$5</definedName>
    <definedName name="_xlnm.Print_Titles" localSheetId="1">'2023 (2)'!$3:$5</definedName>
    <definedName name="_xlnm.Print_Area" localSheetId="0">'2023'!$A$1:$Q$118</definedName>
    <definedName name="_xlnm.Print_Area" localSheetId="1">'2023 (2)'!$A$1:$S$116</definedName>
  </definedNames>
  <calcPr calcId="162913"/>
</workbook>
</file>

<file path=xl/calcChain.xml><?xml version="1.0" encoding="utf-8"?>
<calcChain xmlns="http://schemas.openxmlformats.org/spreadsheetml/2006/main">
  <c r="S31" i="23" l="1"/>
  <c r="S63" i="23" l="1"/>
  <c r="M88" i="23"/>
  <c r="M87" i="23"/>
  <c r="M86" i="23"/>
  <c r="M85" i="23"/>
  <c r="M83" i="23"/>
  <c r="M82" i="23"/>
  <c r="I52" i="23"/>
  <c r="L31" i="23"/>
  <c r="L32" i="23"/>
  <c r="L33" i="23"/>
  <c r="M128" i="23" l="1"/>
  <c r="M126" i="23"/>
  <c r="M79" i="23"/>
  <c r="R66" i="23"/>
  <c r="N54" i="23"/>
  <c r="K54" i="23"/>
  <c r="K66" i="23"/>
  <c r="L66" i="23"/>
  <c r="N59" i="23"/>
  <c r="M59" i="23"/>
  <c r="K59" i="23"/>
  <c r="N66" i="23"/>
  <c r="O66" i="23"/>
  <c r="P66" i="23"/>
  <c r="M65" i="23"/>
  <c r="F65" i="23"/>
  <c r="K65" i="23" s="1"/>
  <c r="F66" i="23"/>
  <c r="M66" i="23"/>
  <c r="M51" i="23"/>
  <c r="M50" i="23"/>
  <c r="M49" i="23"/>
  <c r="M48" i="23"/>
  <c r="M47" i="23"/>
  <c r="M46" i="23"/>
  <c r="M45" i="23"/>
  <c r="M44" i="23"/>
  <c r="M43" i="23"/>
  <c r="M42" i="23"/>
  <c r="M41" i="23"/>
  <c r="M40" i="23"/>
  <c r="M39" i="23"/>
  <c r="M38" i="23"/>
  <c r="M37" i="23"/>
  <c r="M36" i="23"/>
  <c r="M35" i="23"/>
  <c r="M34" i="23"/>
  <c r="M33" i="23"/>
  <c r="M32" i="23"/>
  <c r="M31" i="23"/>
  <c r="M30" i="23"/>
  <c r="M29" i="23"/>
  <c r="M28" i="23"/>
  <c r="M27" i="23"/>
  <c r="M26" i="23"/>
  <c r="M25" i="23"/>
  <c r="M24" i="23"/>
  <c r="M23" i="23"/>
  <c r="M22" i="23"/>
  <c r="M21" i="23"/>
  <c r="M20" i="23"/>
  <c r="M19" i="23"/>
  <c r="M18" i="23"/>
  <c r="M17" i="23"/>
  <c r="M16" i="23"/>
  <c r="M15" i="23"/>
  <c r="M14" i="23"/>
  <c r="M13" i="23"/>
  <c r="M12" i="23"/>
  <c r="M11" i="23"/>
  <c r="M10" i="23"/>
  <c r="M9" i="23"/>
  <c r="M7" i="23"/>
  <c r="E48" i="23"/>
  <c r="E33" i="23"/>
  <c r="E21" i="23"/>
  <c r="E10" i="23"/>
  <c r="E60" i="23"/>
  <c r="F54" i="23"/>
  <c r="S54" i="23" s="1"/>
  <c r="F55" i="23"/>
  <c r="H112" i="23"/>
  <c r="H107" i="23"/>
  <c r="H96" i="23"/>
  <c r="H95" i="23"/>
  <c r="H94" i="23"/>
  <c r="H93" i="23"/>
  <c r="H84" i="23"/>
  <c r="H78" i="23"/>
  <c r="H89" i="23" s="1"/>
  <c r="H72" i="23"/>
  <c r="H70" i="23"/>
  <c r="H108" i="23" s="1"/>
  <c r="H60" i="23"/>
  <c r="H73" i="23" s="1"/>
  <c r="H71" i="23" s="1"/>
  <c r="H67" i="23" s="1"/>
  <c r="H39" i="23"/>
  <c r="H24" i="23"/>
  <c r="H20" i="23"/>
  <c r="H17" i="23"/>
  <c r="H16" i="23"/>
  <c r="H11" i="23"/>
  <c r="H9" i="23"/>
  <c r="Q69" i="23"/>
  <c r="R59" i="23"/>
  <c r="A55" i="23"/>
  <c r="A56" i="23" s="1"/>
  <c r="A57" i="23" s="1"/>
  <c r="A58" i="23" s="1"/>
  <c r="A59" i="23" s="1"/>
  <c r="A60" i="23" s="1"/>
  <c r="P65" i="23" l="1"/>
  <c r="O65" i="23"/>
  <c r="R65" i="23"/>
  <c r="N65" i="23"/>
  <c r="L65" i="23"/>
  <c r="H110" i="23"/>
  <c r="H52" i="23"/>
  <c r="H75" i="23" s="1"/>
  <c r="H76" i="23" s="1"/>
  <c r="H99" i="23"/>
  <c r="R54" i="23"/>
  <c r="H111" i="23"/>
  <c r="H109" i="23" l="1"/>
  <c r="H106" i="23" s="1"/>
  <c r="H101" i="23"/>
  <c r="H113" i="23" s="1"/>
  <c r="H114" i="23" s="1"/>
  <c r="H53" i="23"/>
  <c r="H102" i="23" l="1"/>
  <c r="D70" i="23"/>
  <c r="M96" i="23"/>
  <c r="I96" i="23"/>
  <c r="J96" i="23"/>
  <c r="G96" i="23"/>
  <c r="M91" i="23"/>
  <c r="F81" i="23"/>
  <c r="K81" i="23" s="1"/>
  <c r="A82" i="23"/>
  <c r="I70" i="23"/>
  <c r="I108" i="23" s="1"/>
  <c r="J70" i="23"/>
  <c r="I72" i="23"/>
  <c r="J72" i="23"/>
  <c r="G72" i="23"/>
  <c r="G70" i="23"/>
  <c r="I107" i="23"/>
  <c r="I112" i="23"/>
  <c r="I95" i="23"/>
  <c r="I84" i="23"/>
  <c r="I78" i="23"/>
  <c r="I60" i="23"/>
  <c r="I73" i="23" s="1"/>
  <c r="M56" i="23"/>
  <c r="M70" i="23" s="1"/>
  <c r="I39" i="23"/>
  <c r="I24" i="23"/>
  <c r="I20" i="23"/>
  <c r="I17" i="23"/>
  <c r="I11" i="23"/>
  <c r="I9" i="23"/>
  <c r="I94" i="23" l="1"/>
  <c r="I93" i="23"/>
  <c r="N81" i="23"/>
  <c r="R81" i="23"/>
  <c r="I111" i="23"/>
  <c r="I89" i="23"/>
  <c r="I110" i="23"/>
  <c r="I71" i="23"/>
  <c r="I67" i="23" s="1"/>
  <c r="I16" i="23"/>
  <c r="I53" i="23" s="1"/>
  <c r="I99" i="23" l="1"/>
  <c r="I109" i="23"/>
  <c r="I106" i="23" s="1"/>
  <c r="I75" i="23"/>
  <c r="I76" i="23" s="1"/>
  <c r="I101" i="23"/>
  <c r="I102" i="23" s="1"/>
  <c r="F105" i="23"/>
  <c r="F104" i="23"/>
  <c r="F103" i="23"/>
  <c r="F97" i="23"/>
  <c r="F96" i="23"/>
  <c r="F92" i="23"/>
  <c r="F91" i="23"/>
  <c r="F90" i="23"/>
  <c r="F88" i="23"/>
  <c r="F87" i="23"/>
  <c r="F86" i="23"/>
  <c r="L86" i="23" s="1"/>
  <c r="F85" i="23"/>
  <c r="F83" i="23"/>
  <c r="L83" i="23" s="1"/>
  <c r="F82" i="23"/>
  <c r="F80" i="23"/>
  <c r="F79" i="23"/>
  <c r="F72" i="23"/>
  <c r="F70" i="23"/>
  <c r="F69" i="23"/>
  <c r="R69" i="23" s="1"/>
  <c r="F64" i="23"/>
  <c r="F63" i="23"/>
  <c r="F62" i="23"/>
  <c r="S62" i="23" s="1"/>
  <c r="F61" i="23"/>
  <c r="S61" i="23" s="1"/>
  <c r="F58" i="23"/>
  <c r="F57" i="23"/>
  <c r="F56" i="23"/>
  <c r="R56" i="23" s="1"/>
  <c r="F51" i="23"/>
  <c r="F50" i="23"/>
  <c r="F49" i="23"/>
  <c r="F48" i="23"/>
  <c r="F47" i="23"/>
  <c r="F46" i="23"/>
  <c r="F45" i="23"/>
  <c r="F44" i="23"/>
  <c r="F43" i="23"/>
  <c r="F42" i="23"/>
  <c r="F41" i="23"/>
  <c r="F40" i="23"/>
  <c r="F38" i="23"/>
  <c r="F37" i="23"/>
  <c r="F36" i="23"/>
  <c r="F35" i="23"/>
  <c r="L35" i="23" s="1"/>
  <c r="F34" i="23"/>
  <c r="F33" i="23"/>
  <c r="F32" i="23"/>
  <c r="F31" i="23"/>
  <c r="F30" i="23"/>
  <c r="F29" i="23"/>
  <c r="F28" i="23"/>
  <c r="F27" i="23"/>
  <c r="F26" i="23"/>
  <c r="F25" i="23"/>
  <c r="F23" i="23"/>
  <c r="F22" i="23"/>
  <c r="F21" i="23"/>
  <c r="F19" i="23"/>
  <c r="F18" i="23"/>
  <c r="F15" i="23"/>
  <c r="L15" i="23" s="1"/>
  <c r="F14" i="23"/>
  <c r="F13" i="23"/>
  <c r="F12" i="23"/>
  <c r="L12" i="23" s="1"/>
  <c r="F10" i="23"/>
  <c r="S10" i="23" s="1"/>
  <c r="F7" i="23"/>
  <c r="M92" i="23"/>
  <c r="E96" i="23"/>
  <c r="A91" i="23"/>
  <c r="A92" i="23" s="1"/>
  <c r="E70" i="23"/>
  <c r="Q9" i="23"/>
  <c r="O91" i="23" l="1"/>
  <c r="P91" i="23"/>
  <c r="L91" i="23"/>
  <c r="K91" i="23"/>
  <c r="N91" i="23"/>
  <c r="O96" i="23"/>
  <c r="P96" i="23"/>
  <c r="L96" i="23"/>
  <c r="I113" i="23"/>
  <c r="I114" i="23" s="1"/>
  <c r="R70" i="23"/>
  <c r="K70" i="23"/>
  <c r="L70" i="23"/>
  <c r="P70" i="23"/>
  <c r="O70" i="23"/>
  <c r="L13" i="23"/>
  <c r="S13" i="23"/>
  <c r="L64" i="23"/>
  <c r="L56" i="23"/>
  <c r="K56" i="23"/>
  <c r="N56" i="23"/>
  <c r="O56" i="23"/>
  <c r="P56" i="23"/>
  <c r="Q97" i="23" l="1"/>
  <c r="Q112" i="23" s="1"/>
  <c r="R23" i="23"/>
  <c r="G112" i="23"/>
  <c r="F112" i="23" s="1"/>
  <c r="Q108" i="23"/>
  <c r="M108" i="23"/>
  <c r="J108" i="23"/>
  <c r="G108" i="23"/>
  <c r="F108" i="23" s="1"/>
  <c r="E108" i="23"/>
  <c r="D108" i="23"/>
  <c r="Q107" i="23"/>
  <c r="M107" i="23"/>
  <c r="J107" i="23"/>
  <c r="G107" i="23"/>
  <c r="F107" i="23" s="1"/>
  <c r="E107" i="23"/>
  <c r="D107" i="23"/>
  <c r="J97" i="23"/>
  <c r="E97" i="23"/>
  <c r="E112" i="23" s="1"/>
  <c r="D97" i="23"/>
  <c r="D112" i="23" s="1"/>
  <c r="R96" i="23"/>
  <c r="Q95" i="23"/>
  <c r="Q94" i="23" s="1"/>
  <c r="Q93" i="23" s="1"/>
  <c r="J95" i="23"/>
  <c r="J94" i="23" s="1"/>
  <c r="G95" i="23"/>
  <c r="E95" i="23"/>
  <c r="E94" i="23" s="1"/>
  <c r="D95" i="23"/>
  <c r="D94" i="23" s="1"/>
  <c r="M97" i="23"/>
  <c r="M112" i="23" s="1"/>
  <c r="P92" i="23"/>
  <c r="M90" i="23"/>
  <c r="M95" i="23" s="1"/>
  <c r="M94" i="23" s="1"/>
  <c r="P90" i="23"/>
  <c r="S88" i="23"/>
  <c r="K86" i="23"/>
  <c r="K85" i="23"/>
  <c r="Q84" i="23"/>
  <c r="J84" i="23"/>
  <c r="G84" i="23"/>
  <c r="F84" i="23" s="1"/>
  <c r="E84" i="23"/>
  <c r="D84" i="23"/>
  <c r="R83" i="23"/>
  <c r="A83" i="23"/>
  <c r="A84" i="23" s="1"/>
  <c r="K82" i="23"/>
  <c r="R80" i="23"/>
  <c r="M78" i="23"/>
  <c r="P79" i="23"/>
  <c r="Q78" i="23"/>
  <c r="J78" i="23"/>
  <c r="J89" i="23" s="1"/>
  <c r="G78" i="23"/>
  <c r="E78" i="23"/>
  <c r="E89" i="23" s="1"/>
  <c r="D78" i="23"/>
  <c r="D89" i="23" s="1"/>
  <c r="Q72" i="23"/>
  <c r="E72" i="23"/>
  <c r="D72" i="23"/>
  <c r="N70" i="23"/>
  <c r="N69" i="23"/>
  <c r="M64" i="23"/>
  <c r="O64" i="23" s="1"/>
  <c r="P64" i="23"/>
  <c r="M63" i="23"/>
  <c r="M62" i="23"/>
  <c r="P62" i="23"/>
  <c r="M61" i="23"/>
  <c r="R61" i="23"/>
  <c r="Q60" i="23"/>
  <c r="Q73" i="23" s="1"/>
  <c r="J60" i="23"/>
  <c r="G60" i="23"/>
  <c r="E73" i="23"/>
  <c r="D60" i="23"/>
  <c r="D73" i="23" s="1"/>
  <c r="D111" i="23" s="1"/>
  <c r="M58" i="23"/>
  <c r="M57" i="23"/>
  <c r="P57" i="23"/>
  <c r="M55" i="23"/>
  <c r="M72" i="23" s="1"/>
  <c r="P55" i="23"/>
  <c r="X52" i="23"/>
  <c r="P51" i="23"/>
  <c r="R50" i="23"/>
  <c r="P49" i="23"/>
  <c r="R47" i="23"/>
  <c r="P45" i="23"/>
  <c r="A45" i="23"/>
  <c r="A46" i="23" s="1"/>
  <c r="A47" i="23" s="1"/>
  <c r="A48" i="23" s="1"/>
  <c r="A49" i="23" s="1"/>
  <c r="A50" i="23" s="1"/>
  <c r="A51" i="23" s="1"/>
  <c r="R44" i="23"/>
  <c r="R42" i="23"/>
  <c r="L41" i="23"/>
  <c r="Q39" i="23"/>
  <c r="J39" i="23"/>
  <c r="G39" i="23"/>
  <c r="F39" i="23" s="1"/>
  <c r="E39" i="23"/>
  <c r="D39" i="23"/>
  <c r="P38" i="23"/>
  <c r="S35" i="23"/>
  <c r="P34" i="23"/>
  <c r="R33" i="23"/>
  <c r="R32" i="23"/>
  <c r="K31" i="23"/>
  <c r="A31" i="23"/>
  <c r="A32" i="23" s="1"/>
  <c r="A33" i="23" s="1"/>
  <c r="A34" i="23" s="1"/>
  <c r="A35" i="23" s="1"/>
  <c r="A36" i="23" s="1"/>
  <c r="A37" i="23" s="1"/>
  <c r="A38" i="23" s="1"/>
  <c r="A39" i="23" s="1"/>
  <c r="P29" i="23"/>
  <c r="P28" i="23"/>
  <c r="E27" i="23"/>
  <c r="D27" i="23"/>
  <c r="R26" i="23"/>
  <c r="E26" i="23"/>
  <c r="D26" i="23"/>
  <c r="R25" i="23"/>
  <c r="E25" i="23"/>
  <c r="D25" i="23"/>
  <c r="T24" i="23"/>
  <c r="Q24" i="23"/>
  <c r="J24" i="23"/>
  <c r="G24" i="23"/>
  <c r="F24" i="23" s="1"/>
  <c r="R21" i="23"/>
  <c r="Q20" i="23"/>
  <c r="J20" i="23"/>
  <c r="G20" i="23"/>
  <c r="F20" i="23" s="1"/>
  <c r="E20" i="23"/>
  <c r="D20" i="23"/>
  <c r="P19" i="23"/>
  <c r="T18" i="23"/>
  <c r="L18" i="23"/>
  <c r="Q17" i="23"/>
  <c r="J17" i="23"/>
  <c r="G17" i="23"/>
  <c r="F17" i="23" s="1"/>
  <c r="E17" i="23"/>
  <c r="D17" i="23"/>
  <c r="P13" i="23"/>
  <c r="K12" i="23"/>
  <c r="Q11" i="23"/>
  <c r="J11" i="23"/>
  <c r="G11" i="23"/>
  <c r="F11" i="23" s="1"/>
  <c r="E11" i="23"/>
  <c r="D11" i="23"/>
  <c r="V10" i="23"/>
  <c r="W10" i="23" s="1"/>
  <c r="A10" i="23"/>
  <c r="J9" i="23"/>
  <c r="G9" i="23"/>
  <c r="F9" i="23" s="1"/>
  <c r="E9" i="23"/>
  <c r="D9" i="23"/>
  <c r="S8" i="23"/>
  <c r="R8" i="23"/>
  <c r="W7" i="23"/>
  <c r="V7" i="23"/>
  <c r="C5" i="23"/>
  <c r="D5" i="23" s="1"/>
  <c r="E5" i="23" s="1"/>
  <c r="F5" i="23" s="1"/>
  <c r="G5" i="23" s="1"/>
  <c r="H5" i="23" s="1"/>
  <c r="I5" i="23" s="1"/>
  <c r="K5" i="23" s="1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K133" i="22"/>
  <c r="K132" i="22"/>
  <c r="K131" i="22"/>
  <c r="K130" i="22"/>
  <c r="K128" i="22"/>
  <c r="O106" i="22"/>
  <c r="K106" i="22"/>
  <c r="H106" i="22"/>
  <c r="G106" i="22"/>
  <c r="E106" i="22"/>
  <c r="D106" i="22"/>
  <c r="O112" i="22"/>
  <c r="P112" i="22"/>
  <c r="N112" i="22"/>
  <c r="M112" i="22"/>
  <c r="L112" i="22"/>
  <c r="K112" i="22"/>
  <c r="J112" i="22"/>
  <c r="I112" i="22"/>
  <c r="H112" i="22"/>
  <c r="G112" i="22"/>
  <c r="F112" i="22" s="1"/>
  <c r="E112" i="22"/>
  <c r="D112" i="22"/>
  <c r="F89" i="22"/>
  <c r="P87" i="22"/>
  <c r="K74" i="22"/>
  <c r="A56" i="22"/>
  <c r="A57" i="22"/>
  <c r="Q53" i="22"/>
  <c r="O53" i="22"/>
  <c r="P53" i="22"/>
  <c r="N53" i="22"/>
  <c r="J53" i="22"/>
  <c r="I53" i="22"/>
  <c r="H53" i="22"/>
  <c r="G53" i="22"/>
  <c r="F53" i="22"/>
  <c r="E53" i="22"/>
  <c r="D53" i="22"/>
  <c r="N9" i="22"/>
  <c r="M9" i="22"/>
  <c r="L9" i="22"/>
  <c r="K9" i="22"/>
  <c r="H9" i="22"/>
  <c r="G9" i="22"/>
  <c r="Q8" i="22"/>
  <c r="P8" i="22"/>
  <c r="O9" i="22"/>
  <c r="F9" i="22"/>
  <c r="Q9" i="22" s="1"/>
  <c r="E9" i="22"/>
  <c r="D9" i="22"/>
  <c r="G94" i="23" l="1"/>
  <c r="F95" i="23"/>
  <c r="G73" i="23"/>
  <c r="F60" i="23"/>
  <c r="R60" i="23" s="1"/>
  <c r="E110" i="23"/>
  <c r="L5" i="23"/>
  <c r="M5" i="23" s="1"/>
  <c r="N5" i="23" s="1"/>
  <c r="O5" i="23" s="1"/>
  <c r="G89" i="23"/>
  <c r="F89" i="23" s="1"/>
  <c r="F78" i="23"/>
  <c r="N78" i="23" s="1"/>
  <c r="Q111" i="23"/>
  <c r="D93" i="23"/>
  <c r="J73" i="23"/>
  <c r="J71" i="23" s="1"/>
  <c r="J67" i="23" s="1"/>
  <c r="K23" i="23"/>
  <c r="E111" i="23"/>
  <c r="P37" i="23"/>
  <c r="S37" i="23"/>
  <c r="N23" i="23"/>
  <c r="R97" i="23"/>
  <c r="N36" i="23"/>
  <c r="N46" i="23"/>
  <c r="N47" i="23"/>
  <c r="P47" i="23"/>
  <c r="R112" i="23"/>
  <c r="O49" i="23"/>
  <c r="R51" i="23"/>
  <c r="D110" i="23"/>
  <c r="R49" i="23"/>
  <c r="K20" i="23"/>
  <c r="O40" i="23"/>
  <c r="N43" i="23"/>
  <c r="O87" i="23"/>
  <c r="O14" i="23"/>
  <c r="O25" i="23"/>
  <c r="O27" i="23"/>
  <c r="L49" i="23"/>
  <c r="N51" i="23"/>
  <c r="N48" i="23"/>
  <c r="P83" i="23"/>
  <c r="M110" i="23"/>
  <c r="J16" i="23"/>
  <c r="J52" i="23" s="1"/>
  <c r="R34" i="23"/>
  <c r="N35" i="23"/>
  <c r="R31" i="23"/>
  <c r="K34" i="23"/>
  <c r="P35" i="23"/>
  <c r="R41" i="23"/>
  <c r="L55" i="23"/>
  <c r="N62" i="23"/>
  <c r="R82" i="23"/>
  <c r="P31" i="23"/>
  <c r="P41" i="23"/>
  <c r="O7" i="23"/>
  <c r="Q16" i="23"/>
  <c r="Q52" i="23" s="1"/>
  <c r="L34" i="23"/>
  <c r="O62" i="23"/>
  <c r="N82" i="23"/>
  <c r="L11" i="23"/>
  <c r="O13" i="23"/>
  <c r="O34" i="23"/>
  <c r="S55" i="23"/>
  <c r="N83" i="23"/>
  <c r="M93" i="23"/>
  <c r="O10" i="23"/>
  <c r="N15" i="23"/>
  <c r="D16" i="23"/>
  <c r="U24" i="23"/>
  <c r="S25" i="23"/>
  <c r="P32" i="23"/>
  <c r="K47" i="23"/>
  <c r="K49" i="23"/>
  <c r="R86" i="23"/>
  <c r="O95" i="23"/>
  <c r="N96" i="23"/>
  <c r="L19" i="23"/>
  <c r="N22" i="23"/>
  <c r="P27" i="23"/>
  <c r="K33" i="23"/>
  <c r="L44" i="23"/>
  <c r="O19" i="23"/>
  <c r="V27" i="23"/>
  <c r="O33" i="23"/>
  <c r="O44" i="23"/>
  <c r="P87" i="23"/>
  <c r="R90" i="23"/>
  <c r="P18" i="23"/>
  <c r="R19" i="23"/>
  <c r="L26" i="23"/>
  <c r="P33" i="23"/>
  <c r="S44" i="23"/>
  <c r="P14" i="23"/>
  <c r="G16" i="23"/>
  <c r="R18" i="23"/>
  <c r="S19" i="23"/>
  <c r="R20" i="23"/>
  <c r="S26" i="23"/>
  <c r="O32" i="23"/>
  <c r="S34" i="23"/>
  <c r="T34" i="23" s="1"/>
  <c r="G110" i="23"/>
  <c r="F110" i="23" s="1"/>
  <c r="O86" i="23"/>
  <c r="K96" i="23"/>
  <c r="O39" i="23"/>
  <c r="L39" i="23"/>
  <c r="S39" i="23"/>
  <c r="L29" i="23"/>
  <c r="L21" i="23"/>
  <c r="P25" i="23"/>
  <c r="N28" i="23"/>
  <c r="N49" i="23"/>
  <c r="O55" i="23"/>
  <c r="R57" i="23"/>
  <c r="M84" i="23"/>
  <c r="O84" i="23" s="1"/>
  <c r="R12" i="23"/>
  <c r="R15" i="23"/>
  <c r="L20" i="23"/>
  <c r="O21" i="23"/>
  <c r="K25" i="23"/>
  <c r="E24" i="23"/>
  <c r="O28" i="23"/>
  <c r="N29" i="23"/>
  <c r="P43" i="23"/>
  <c r="N13" i="23"/>
  <c r="S15" i="23"/>
  <c r="K19" i="23"/>
  <c r="P20" i="23"/>
  <c r="S21" i="23"/>
  <c r="L25" i="23"/>
  <c r="R29" i="23"/>
  <c r="N31" i="23"/>
  <c r="K32" i="23"/>
  <c r="N33" i="23"/>
  <c r="O36" i="23"/>
  <c r="R37" i="23"/>
  <c r="S42" i="23"/>
  <c r="N45" i="23"/>
  <c r="S49" i="23"/>
  <c r="M60" i="23"/>
  <c r="M73" i="23" s="1"/>
  <c r="M71" i="23" s="1"/>
  <c r="K72" i="23"/>
  <c r="R84" i="23"/>
  <c r="Q89" i="23"/>
  <c r="L90" i="23"/>
  <c r="N108" i="23"/>
  <c r="S20" i="23"/>
  <c r="K29" i="23"/>
  <c r="V29" i="23"/>
  <c r="N32" i="23"/>
  <c r="O35" i="23"/>
  <c r="K37" i="23"/>
  <c r="L43" i="23"/>
  <c r="N50" i="23"/>
  <c r="M89" i="23"/>
  <c r="O90" i="23"/>
  <c r="P22" i="23"/>
  <c r="L37" i="23"/>
  <c r="R38" i="23"/>
  <c r="P40" i="23"/>
  <c r="O50" i="23"/>
  <c r="N55" i="23"/>
  <c r="E71" i="23"/>
  <c r="E67" i="23" s="1"/>
  <c r="E16" i="23"/>
  <c r="S29" i="23"/>
  <c r="K15" i="23"/>
  <c r="L42" i="23"/>
  <c r="N44" i="23"/>
  <c r="P9" i="23"/>
  <c r="N12" i="23"/>
  <c r="O29" i="23"/>
  <c r="O37" i="23"/>
  <c r="O43" i="23"/>
  <c r="P50" i="23"/>
  <c r="P10" i="23"/>
  <c r="S32" i="23"/>
  <c r="N37" i="23"/>
  <c r="K41" i="23"/>
  <c r="O42" i="23"/>
  <c r="O46" i="23"/>
  <c r="L62" i="23"/>
  <c r="N80" i="23"/>
  <c r="K90" i="23"/>
  <c r="N9" i="23"/>
  <c r="R10" i="23"/>
  <c r="R22" i="23"/>
  <c r="S30" i="23"/>
  <c r="T30" i="23" s="1"/>
  <c r="L30" i="23"/>
  <c r="R30" i="23"/>
  <c r="K30" i="23"/>
  <c r="R40" i="23"/>
  <c r="N42" i="23"/>
  <c r="R45" i="23"/>
  <c r="S48" i="23"/>
  <c r="K9" i="23"/>
  <c r="L10" i="23"/>
  <c r="K11" i="23"/>
  <c r="S14" i="23"/>
  <c r="L14" i="23"/>
  <c r="R14" i="23"/>
  <c r="K14" i="23"/>
  <c r="R36" i="23"/>
  <c r="N38" i="23"/>
  <c r="R46" i="23"/>
  <c r="S57" i="23"/>
  <c r="L57" i="23"/>
  <c r="O57" i="23"/>
  <c r="N57" i="23"/>
  <c r="P61" i="23"/>
  <c r="J110" i="23"/>
  <c r="J112" i="23"/>
  <c r="K112" i="23" s="1"/>
  <c r="K97" i="23"/>
  <c r="D109" i="23"/>
  <c r="D106" i="23" s="1"/>
  <c r="K7" i="23"/>
  <c r="R7" i="23"/>
  <c r="L9" i="23"/>
  <c r="R9" i="23"/>
  <c r="K13" i="23"/>
  <c r="O18" i="23"/>
  <c r="U18" i="23"/>
  <c r="N18" i="23"/>
  <c r="S18" i="23"/>
  <c r="N19" i="23"/>
  <c r="N21" i="23"/>
  <c r="S28" i="23"/>
  <c r="L28" i="23"/>
  <c r="R28" i="23"/>
  <c r="O30" i="23"/>
  <c r="N34" i="23"/>
  <c r="K36" i="23"/>
  <c r="S36" i="23"/>
  <c r="O38" i="23"/>
  <c r="N40" i="23"/>
  <c r="R43" i="23"/>
  <c r="K46" i="23"/>
  <c r="S46" i="23"/>
  <c r="O48" i="23"/>
  <c r="K57" i="23"/>
  <c r="N63" i="23"/>
  <c r="R63" i="23"/>
  <c r="K63" i="23"/>
  <c r="O63" i="23"/>
  <c r="P63" i="23"/>
  <c r="D99" i="23"/>
  <c r="E93" i="23"/>
  <c r="E99" i="23" s="1"/>
  <c r="P95" i="23"/>
  <c r="P97" i="23"/>
  <c r="S11" i="23"/>
  <c r="R11" i="23"/>
  <c r="S45" i="23"/>
  <c r="T45" i="23" s="1"/>
  <c r="L45" i="23"/>
  <c r="R64" i="23"/>
  <c r="N64" i="23"/>
  <c r="P7" i="23"/>
  <c r="P12" i="23"/>
  <c r="O12" i="23"/>
  <c r="O20" i="23"/>
  <c r="L22" i="23"/>
  <c r="R24" i="23"/>
  <c r="L24" i="23"/>
  <c r="K24" i="23"/>
  <c r="S27" i="23"/>
  <c r="T27" i="23" s="1"/>
  <c r="L27" i="23"/>
  <c r="R27" i="23"/>
  <c r="K27" i="23"/>
  <c r="N30" i="23"/>
  <c r="K39" i="23"/>
  <c r="P39" i="23"/>
  <c r="O47" i="23"/>
  <c r="L7" i="23"/>
  <c r="S7" i="23"/>
  <c r="S9" i="23"/>
  <c r="N10" i="23"/>
  <c r="N14" i="23"/>
  <c r="K18" i="23"/>
  <c r="O22" i="23"/>
  <c r="S24" i="23"/>
  <c r="N27" i="23"/>
  <c r="K28" i="23"/>
  <c r="P30" i="23"/>
  <c r="O31" i="23"/>
  <c r="S33" i="23"/>
  <c r="L36" i="23"/>
  <c r="R39" i="23"/>
  <c r="K43" i="23"/>
  <c r="S43" i="23"/>
  <c r="O45" i="23"/>
  <c r="L46" i="23"/>
  <c r="P48" i="23"/>
  <c r="L63" i="23"/>
  <c r="D71" i="23"/>
  <c r="D67" i="23" s="1"/>
  <c r="Q110" i="23"/>
  <c r="Q71" i="23"/>
  <c r="Q67" i="23" s="1"/>
  <c r="R79" i="23"/>
  <c r="K79" i="23"/>
  <c r="N79" i="23"/>
  <c r="S79" i="23"/>
  <c r="L79" i="23"/>
  <c r="O79" i="23"/>
  <c r="J93" i="23"/>
  <c r="J99" i="23" s="1"/>
  <c r="K104" i="23"/>
  <c r="S104" i="23"/>
  <c r="N104" i="23"/>
  <c r="R104" i="23"/>
  <c r="S38" i="23"/>
  <c r="L38" i="23"/>
  <c r="R48" i="23"/>
  <c r="L61" i="23"/>
  <c r="O61" i="23"/>
  <c r="K61" i="23"/>
  <c r="P84" i="23"/>
  <c r="S84" i="23"/>
  <c r="K84" i="23"/>
  <c r="S85" i="23"/>
  <c r="N85" i="23"/>
  <c r="R85" i="23"/>
  <c r="N88" i="23"/>
  <c r="R88" i="23"/>
  <c r="K88" i="23"/>
  <c r="O88" i="23"/>
  <c r="P88" i="23"/>
  <c r="R107" i="23"/>
  <c r="N107" i="23"/>
  <c r="K107" i="23"/>
  <c r="P112" i="23"/>
  <c r="O112" i="23"/>
  <c r="O9" i="23"/>
  <c r="K38" i="23"/>
  <c r="K48" i="23"/>
  <c r="N72" i="23"/>
  <c r="L88" i="23"/>
  <c r="R92" i="23"/>
  <c r="K92" i="23"/>
  <c r="N92" i="23"/>
  <c r="L92" i="23"/>
  <c r="O92" i="23"/>
  <c r="K108" i="23"/>
  <c r="R108" i="23"/>
  <c r="N7" i="23"/>
  <c r="P11" i="23"/>
  <c r="S40" i="23"/>
  <c r="T40" i="23" s="1"/>
  <c r="L40" i="23"/>
  <c r="K10" i="23"/>
  <c r="S12" i="23"/>
  <c r="R13" i="23"/>
  <c r="P15" i="23"/>
  <c r="O15" i="23"/>
  <c r="K22" i="23"/>
  <c r="S22" i="23"/>
  <c r="D24" i="23"/>
  <c r="D52" i="23" s="1"/>
  <c r="N25" i="23"/>
  <c r="P36" i="23"/>
  <c r="N39" i="23"/>
  <c r="K40" i="23"/>
  <c r="O41" i="23"/>
  <c r="N41" i="23"/>
  <c r="S41" i="23"/>
  <c r="T41" i="23" s="1"/>
  <c r="K45" i="23"/>
  <c r="P46" i="23"/>
  <c r="L48" i="23"/>
  <c r="R58" i="23"/>
  <c r="K58" i="23"/>
  <c r="S58" i="23"/>
  <c r="N58" i="23"/>
  <c r="N61" i="23"/>
  <c r="K64" i="23"/>
  <c r="G111" i="23"/>
  <c r="F111" i="23" s="1"/>
  <c r="S80" i="23"/>
  <c r="K80" i="23"/>
  <c r="L84" i="23"/>
  <c r="N112" i="23"/>
  <c r="N20" i="23"/>
  <c r="P21" i="23"/>
  <c r="P26" i="23"/>
  <c r="R35" i="23"/>
  <c r="P42" i="23"/>
  <c r="P44" i="23"/>
  <c r="K51" i="23"/>
  <c r="O51" i="23"/>
  <c r="O82" i="23"/>
  <c r="S83" i="23"/>
  <c r="K83" i="23"/>
  <c r="O83" i="23"/>
  <c r="R87" i="23"/>
  <c r="K87" i="23"/>
  <c r="N87" i="23"/>
  <c r="S87" i="23"/>
  <c r="L87" i="23"/>
  <c r="O11" i="23"/>
  <c r="K21" i="23"/>
  <c r="K26" i="23"/>
  <c r="K35" i="23"/>
  <c r="K42" i="23"/>
  <c r="K44" i="23"/>
  <c r="P86" i="23"/>
  <c r="N86" i="23"/>
  <c r="N97" i="23"/>
  <c r="L97" i="23"/>
  <c r="K50" i="23"/>
  <c r="K55" i="23"/>
  <c r="R55" i="23"/>
  <c r="K62" i="23"/>
  <c r="R62" i="23"/>
  <c r="P82" i="23"/>
  <c r="N90" i="23"/>
  <c r="L82" i="23"/>
  <c r="S82" i="23"/>
  <c r="O97" i="23"/>
  <c r="I9" i="22"/>
  <c r="J9" i="22"/>
  <c r="P9" i="22"/>
  <c r="S78" i="23" l="1"/>
  <c r="P78" i="23"/>
  <c r="L78" i="23"/>
  <c r="Q109" i="23"/>
  <c r="Q106" i="23" s="1"/>
  <c r="S60" i="23"/>
  <c r="N24" i="23"/>
  <c r="G71" i="23"/>
  <c r="F71" i="23" s="1"/>
  <c r="F73" i="23"/>
  <c r="L73" i="23" s="1"/>
  <c r="E109" i="23"/>
  <c r="E106" i="23" s="1"/>
  <c r="G93" i="23"/>
  <c r="F93" i="23" s="1"/>
  <c r="R93" i="23" s="1"/>
  <c r="F94" i="23"/>
  <c r="R94" i="23" s="1"/>
  <c r="Q5" i="23"/>
  <c r="R5" i="23" s="1"/>
  <c r="S5" i="23" s="1"/>
  <c r="O78" i="23"/>
  <c r="F16" i="23"/>
  <c r="R16" i="23" s="1"/>
  <c r="J111" i="23"/>
  <c r="J109" i="23" s="1"/>
  <c r="J106" i="23" s="1"/>
  <c r="N84" i="23"/>
  <c r="P60" i="23"/>
  <c r="L60" i="23"/>
  <c r="V50" i="23"/>
  <c r="Q53" i="23"/>
  <c r="Q102" i="23" s="1"/>
  <c r="K60" i="23"/>
  <c r="R78" i="23"/>
  <c r="K78" i="23"/>
  <c r="G52" i="23"/>
  <c r="N11" i="23"/>
  <c r="L112" i="23"/>
  <c r="U52" i="23"/>
  <c r="P24" i="23"/>
  <c r="N95" i="23"/>
  <c r="K95" i="23"/>
  <c r="M99" i="23"/>
  <c r="L95" i="23"/>
  <c r="M52" i="23"/>
  <c r="O24" i="23"/>
  <c r="R95" i="23"/>
  <c r="J75" i="23"/>
  <c r="J76" i="23" s="1"/>
  <c r="O60" i="23"/>
  <c r="N60" i="23"/>
  <c r="O72" i="23"/>
  <c r="Q99" i="23"/>
  <c r="J101" i="23"/>
  <c r="J102" i="23" s="1"/>
  <c r="L72" i="23"/>
  <c r="Q101" i="23"/>
  <c r="Q113" i="23" s="1"/>
  <c r="U113" i="23" s="1"/>
  <c r="E52" i="23"/>
  <c r="R72" i="23"/>
  <c r="P72" i="23"/>
  <c r="S72" i="23"/>
  <c r="J53" i="23"/>
  <c r="D53" i="23"/>
  <c r="D101" i="23"/>
  <c r="N110" i="23"/>
  <c r="K110" i="23"/>
  <c r="O110" i="23"/>
  <c r="P110" i="23"/>
  <c r="S110" i="23"/>
  <c r="R110" i="23"/>
  <c r="L110" i="23"/>
  <c r="M111" i="23"/>
  <c r="M109" i="23" s="1"/>
  <c r="M106" i="23" s="1"/>
  <c r="M67" i="23"/>
  <c r="R111" i="23"/>
  <c r="S111" i="23"/>
  <c r="P111" i="23"/>
  <c r="N94" i="23"/>
  <c r="O94" i="23"/>
  <c r="O26" i="23"/>
  <c r="N26" i="23"/>
  <c r="G67" i="23"/>
  <c r="F67" i="23" s="1"/>
  <c r="Q75" i="23"/>
  <c r="G109" i="23"/>
  <c r="F109" i="23" s="1"/>
  <c r="S17" i="23"/>
  <c r="R17" i="23"/>
  <c r="L17" i="23"/>
  <c r="P17" i="23"/>
  <c r="K17" i="23"/>
  <c r="N17" i="23"/>
  <c r="O17" i="23"/>
  <c r="D75" i="23"/>
  <c r="M130" i="23"/>
  <c r="M129" i="23"/>
  <c r="S89" i="23"/>
  <c r="P89" i="23"/>
  <c r="N89" i="23"/>
  <c r="O89" i="23"/>
  <c r="L89" i="23"/>
  <c r="R89" i="23"/>
  <c r="K89" i="23"/>
  <c r="K94" i="23" l="1"/>
  <c r="P94" i="23"/>
  <c r="N93" i="23"/>
  <c r="L94" i="23"/>
  <c r="N73" i="23"/>
  <c r="K73" i="23"/>
  <c r="O73" i="23"/>
  <c r="N16" i="23"/>
  <c r="L111" i="23"/>
  <c r="K93" i="23"/>
  <c r="G99" i="23"/>
  <c r="F99" i="23" s="1"/>
  <c r="L99" i="23" s="1"/>
  <c r="P93" i="23"/>
  <c r="P73" i="23"/>
  <c r="S73" i="23"/>
  <c r="R73" i="23"/>
  <c r="O93" i="23"/>
  <c r="L93" i="23"/>
  <c r="S16" i="23"/>
  <c r="O16" i="23"/>
  <c r="E75" i="23"/>
  <c r="E76" i="23" s="1"/>
  <c r="L16" i="23"/>
  <c r="P16" i="23"/>
  <c r="K16" i="23"/>
  <c r="F52" i="23"/>
  <c r="K52" i="23" s="1"/>
  <c r="K111" i="23"/>
  <c r="D113" i="23"/>
  <c r="D114" i="23" s="1"/>
  <c r="D102" i="23"/>
  <c r="J113" i="23"/>
  <c r="J114" i="23" s="1"/>
  <c r="J123" i="23" s="1"/>
  <c r="Q76" i="23"/>
  <c r="Q114" i="23" s="1"/>
  <c r="G101" i="23"/>
  <c r="F101" i="23" s="1"/>
  <c r="U99" i="23"/>
  <c r="D123" i="23"/>
  <c r="G53" i="23"/>
  <c r="M101" i="23"/>
  <c r="M75" i="23"/>
  <c r="M76" i="23" s="1"/>
  <c r="M53" i="23"/>
  <c r="M131" i="23"/>
  <c r="M127" i="23"/>
  <c r="E101" i="23"/>
  <c r="O111" i="23"/>
  <c r="E53" i="23"/>
  <c r="G106" i="23"/>
  <c r="F106" i="23" s="1"/>
  <c r="D76" i="23"/>
  <c r="G75" i="23"/>
  <c r="F75" i="23" s="1"/>
  <c r="N71" i="23"/>
  <c r="K71" i="23"/>
  <c r="O71" i="23"/>
  <c r="L71" i="23"/>
  <c r="P71" i="23"/>
  <c r="R71" i="23"/>
  <c r="S71" i="23"/>
  <c r="U75" i="23"/>
  <c r="N111" i="23"/>
  <c r="P99" i="23" l="1"/>
  <c r="K99" i="23"/>
  <c r="N99" i="23"/>
  <c r="R99" i="23"/>
  <c r="S99" i="23"/>
  <c r="O99" i="23"/>
  <c r="P52" i="23"/>
  <c r="N52" i="23"/>
  <c r="S52" i="23"/>
  <c r="U50" i="23"/>
  <c r="W50" i="23" s="1"/>
  <c r="O52" i="23"/>
  <c r="L52" i="23"/>
  <c r="F53" i="23"/>
  <c r="L53" i="23" s="1"/>
  <c r="R52" i="23"/>
  <c r="E113" i="23"/>
  <c r="E123" i="23" s="1"/>
  <c r="E102" i="23"/>
  <c r="G102" i="23"/>
  <c r="F102" i="23" s="1"/>
  <c r="O101" i="23"/>
  <c r="M102" i="23"/>
  <c r="M113" i="23"/>
  <c r="M114" i="23" s="1"/>
  <c r="P101" i="23"/>
  <c r="G113" i="23"/>
  <c r="F113" i="23" s="1"/>
  <c r="N67" i="23"/>
  <c r="K67" i="23"/>
  <c r="O67" i="23"/>
  <c r="S67" i="23"/>
  <c r="R67" i="23"/>
  <c r="P67" i="23"/>
  <c r="L67" i="23"/>
  <c r="P109" i="23"/>
  <c r="S109" i="23"/>
  <c r="K109" i="23"/>
  <c r="R109" i="23"/>
  <c r="L109" i="23"/>
  <c r="O109" i="23"/>
  <c r="N109" i="23"/>
  <c r="G76" i="23"/>
  <c r="F76" i="23" s="1"/>
  <c r="E125" i="23" l="1"/>
  <c r="S53" i="23"/>
  <c r="E114" i="23"/>
  <c r="R53" i="23"/>
  <c r="O53" i="23"/>
  <c r="K53" i="23"/>
  <c r="P53" i="23"/>
  <c r="N53" i="23"/>
  <c r="K101" i="23"/>
  <c r="R101" i="23"/>
  <c r="L101" i="23"/>
  <c r="S101" i="23"/>
  <c r="P102" i="23"/>
  <c r="L102" i="23"/>
  <c r="K102" i="23"/>
  <c r="S102" i="23"/>
  <c r="R102" i="23"/>
  <c r="N101" i="23"/>
  <c r="N102" i="23"/>
  <c r="O102" i="23"/>
  <c r="R113" i="23"/>
  <c r="G114" i="23"/>
  <c r="F114" i="23" s="1"/>
  <c r="N75" i="23"/>
  <c r="K75" i="23"/>
  <c r="O75" i="23"/>
  <c r="L75" i="23"/>
  <c r="P75" i="23"/>
  <c r="S75" i="23"/>
  <c r="R75" i="23"/>
  <c r="K76" i="23"/>
  <c r="N76" i="23"/>
  <c r="R76" i="23"/>
  <c r="L76" i="23"/>
  <c r="S76" i="23"/>
  <c r="P76" i="23"/>
  <c r="O76" i="23"/>
  <c r="N106" i="23"/>
  <c r="K106" i="23"/>
  <c r="O106" i="23"/>
  <c r="P106" i="23"/>
  <c r="S106" i="23"/>
  <c r="L106" i="23"/>
  <c r="R106" i="23"/>
  <c r="F125" i="23" l="1"/>
  <c r="S113" i="23"/>
  <c r="F123" i="23"/>
  <c r="N113" i="23"/>
  <c r="P113" i="23"/>
  <c r="L113" i="23"/>
  <c r="O113" i="23"/>
  <c r="K113" i="23"/>
  <c r="N114" i="23"/>
  <c r="S114" i="23"/>
  <c r="O114" i="23"/>
  <c r="R114" i="23"/>
  <c r="L114" i="23"/>
  <c r="K114" i="23"/>
  <c r="P114" i="23"/>
  <c r="E92" i="22" l="1"/>
  <c r="N111" i="22"/>
  <c r="M111" i="22"/>
  <c r="L111" i="22"/>
  <c r="N110" i="22"/>
  <c r="N109" i="22"/>
  <c r="L91" i="22"/>
  <c r="N90" i="22"/>
  <c r="N89" i="22"/>
  <c r="N87" i="22"/>
  <c r="N86" i="22"/>
  <c r="M86" i="22"/>
  <c r="L86" i="22"/>
  <c r="N80" i="22"/>
  <c r="M80" i="22"/>
  <c r="L80" i="22"/>
  <c r="N68" i="22"/>
  <c r="M68" i="22"/>
  <c r="L68" i="22"/>
  <c r="N67" i="22"/>
  <c r="M67" i="22"/>
  <c r="L67" i="22"/>
  <c r="N66" i="22"/>
  <c r="M66" i="22"/>
  <c r="L66" i="22"/>
  <c r="N61" i="22"/>
  <c r="L61" i="22"/>
  <c r="N60" i="22"/>
  <c r="M60" i="22"/>
  <c r="L60" i="22"/>
  <c r="N59" i="22"/>
  <c r="M59" i="22"/>
  <c r="L59" i="22"/>
  <c r="N58" i="22"/>
  <c r="M58" i="22"/>
  <c r="L58" i="22"/>
  <c r="N57" i="22"/>
  <c r="M57" i="22"/>
  <c r="L57" i="22"/>
  <c r="L56" i="22"/>
  <c r="N55" i="22"/>
  <c r="M55" i="22"/>
  <c r="L55" i="22"/>
  <c r="N54" i="22"/>
  <c r="M54" i="22"/>
  <c r="L54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7" i="22"/>
  <c r="M7" i="22"/>
  <c r="L7" i="22"/>
  <c r="J111" i="22"/>
  <c r="I111" i="22"/>
  <c r="I91" i="22"/>
  <c r="I89" i="22"/>
  <c r="J87" i="22"/>
  <c r="I87" i="22"/>
  <c r="J86" i="22"/>
  <c r="I86" i="22"/>
  <c r="I80" i="22"/>
  <c r="J68" i="22"/>
  <c r="I68" i="22"/>
  <c r="J67" i="22"/>
  <c r="I67" i="22"/>
  <c r="J66" i="22"/>
  <c r="I66" i="22"/>
  <c r="I61" i="22"/>
  <c r="J60" i="22"/>
  <c r="I60" i="22"/>
  <c r="J59" i="22"/>
  <c r="I59" i="22"/>
  <c r="J58" i="22"/>
  <c r="I58" i="22"/>
  <c r="J57" i="22"/>
  <c r="I57" i="22"/>
  <c r="I56" i="22"/>
  <c r="J55" i="22"/>
  <c r="I55" i="22"/>
  <c r="J54" i="22"/>
  <c r="I54" i="22"/>
  <c r="J52" i="22"/>
  <c r="I52" i="22"/>
  <c r="I51" i="22"/>
  <c r="I50" i="22"/>
  <c r="J49" i="22"/>
  <c r="I49" i="22"/>
  <c r="J48" i="22"/>
  <c r="I48" i="22"/>
  <c r="I47" i="22"/>
  <c r="J46" i="22"/>
  <c r="I46" i="22"/>
  <c r="J45" i="22"/>
  <c r="I45" i="22"/>
  <c r="J44" i="22"/>
  <c r="I44" i="22"/>
  <c r="J43" i="22"/>
  <c r="I43" i="22"/>
  <c r="J42" i="22"/>
  <c r="I42" i="22"/>
  <c r="J41" i="22"/>
  <c r="I41" i="22"/>
  <c r="J40" i="22"/>
  <c r="I40" i="22"/>
  <c r="J39" i="22"/>
  <c r="I39" i="22"/>
  <c r="J38" i="22"/>
  <c r="I38" i="22"/>
  <c r="J37" i="22"/>
  <c r="I37" i="22"/>
  <c r="J36" i="22"/>
  <c r="I36" i="22"/>
  <c r="I35" i="22"/>
  <c r="J34" i="22"/>
  <c r="I34" i="22"/>
  <c r="I33" i="22"/>
  <c r="I32" i="22"/>
  <c r="I31" i="22"/>
  <c r="J30" i="22"/>
  <c r="I30" i="22"/>
  <c r="J29" i="22"/>
  <c r="I29" i="22"/>
  <c r="J28" i="22"/>
  <c r="I28" i="22"/>
  <c r="J27" i="22"/>
  <c r="I27" i="22"/>
  <c r="J26" i="22"/>
  <c r="I26" i="22"/>
  <c r="J25" i="22"/>
  <c r="I25" i="22"/>
  <c r="J24" i="22"/>
  <c r="I24" i="22"/>
  <c r="I23" i="22"/>
  <c r="J22" i="22"/>
  <c r="I22" i="22"/>
  <c r="J21" i="22"/>
  <c r="I21" i="22"/>
  <c r="J20" i="22"/>
  <c r="I20" i="22"/>
  <c r="J19" i="22"/>
  <c r="I19" i="22"/>
  <c r="J18" i="22"/>
  <c r="I18" i="22"/>
  <c r="J17" i="22"/>
  <c r="I17" i="22"/>
  <c r="J16" i="22"/>
  <c r="I16" i="22"/>
  <c r="I15" i="22"/>
  <c r="J14" i="22"/>
  <c r="I14" i="22"/>
  <c r="I13" i="22"/>
  <c r="I12" i="22"/>
  <c r="J11" i="22"/>
  <c r="I11" i="22"/>
  <c r="J10" i="22"/>
  <c r="I10" i="22"/>
  <c r="J7" i="22"/>
  <c r="I7" i="22"/>
  <c r="G57" i="22"/>
  <c r="H57" i="22"/>
  <c r="K57" i="22" s="1"/>
  <c r="F56" i="22"/>
  <c r="Q56" i="22" s="1"/>
  <c r="H39" i="22"/>
  <c r="H24" i="22"/>
  <c r="H20" i="22"/>
  <c r="H17" i="22"/>
  <c r="H11" i="22"/>
  <c r="H78" i="22"/>
  <c r="H73" i="22"/>
  <c r="H83" i="22" s="1"/>
  <c r="H67" i="22"/>
  <c r="H110" i="22" s="1"/>
  <c r="I110" i="22" s="1"/>
  <c r="K108" i="22"/>
  <c r="K107" i="22"/>
  <c r="H108" i="22"/>
  <c r="H107" i="22"/>
  <c r="H92" i="22"/>
  <c r="H90" i="22"/>
  <c r="H89" i="22" s="1"/>
  <c r="K87" i="22"/>
  <c r="K92" i="22" s="1"/>
  <c r="K86" i="22"/>
  <c r="K90" i="22" s="1"/>
  <c r="K85" i="22"/>
  <c r="K83" i="22"/>
  <c r="K78" i="22"/>
  <c r="K82" i="22"/>
  <c r="K81" i="22"/>
  <c r="K80" i="22"/>
  <c r="K79" i="22"/>
  <c r="K77" i="22"/>
  <c r="K76" i="22"/>
  <c r="K73" i="22"/>
  <c r="K67" i="22"/>
  <c r="K61" i="22"/>
  <c r="K60" i="22"/>
  <c r="K59" i="22"/>
  <c r="K58" i="22"/>
  <c r="K56" i="22"/>
  <c r="K55" i="22"/>
  <c r="K54" i="22"/>
  <c r="K51" i="22"/>
  <c r="M51" i="22" s="1"/>
  <c r="K50" i="22"/>
  <c r="M50" i="22" s="1"/>
  <c r="K49" i="22"/>
  <c r="M49" i="22" s="1"/>
  <c r="K48" i="22"/>
  <c r="M48" i="22" s="1"/>
  <c r="K47" i="22"/>
  <c r="M47" i="22" s="1"/>
  <c r="K46" i="22"/>
  <c r="M46" i="22" s="1"/>
  <c r="K45" i="22"/>
  <c r="M45" i="22" s="1"/>
  <c r="K44" i="22"/>
  <c r="M44" i="22" s="1"/>
  <c r="K43" i="22"/>
  <c r="M43" i="22" s="1"/>
  <c r="K42" i="22"/>
  <c r="M42" i="22" s="1"/>
  <c r="K41" i="22"/>
  <c r="M41" i="22" s="1"/>
  <c r="K40" i="22"/>
  <c r="M40" i="22" s="1"/>
  <c r="K39" i="22"/>
  <c r="M39" i="22" s="1"/>
  <c r="K38" i="22"/>
  <c r="M38" i="22" s="1"/>
  <c r="K37" i="22"/>
  <c r="M37" i="22" s="1"/>
  <c r="K36" i="22"/>
  <c r="M36" i="22" s="1"/>
  <c r="K35" i="22"/>
  <c r="M35" i="22" s="1"/>
  <c r="K34" i="22"/>
  <c r="M34" i="22" s="1"/>
  <c r="K33" i="22"/>
  <c r="M33" i="22" s="1"/>
  <c r="K32" i="22"/>
  <c r="M32" i="22" s="1"/>
  <c r="K31" i="22"/>
  <c r="M31" i="22" s="1"/>
  <c r="K30" i="22"/>
  <c r="M30" i="22" s="1"/>
  <c r="K29" i="22"/>
  <c r="M29" i="22" s="1"/>
  <c r="K28" i="22"/>
  <c r="M28" i="22" s="1"/>
  <c r="K27" i="22"/>
  <c r="M27" i="22" s="1"/>
  <c r="K26" i="22"/>
  <c r="M26" i="22" s="1"/>
  <c r="K25" i="22"/>
  <c r="M25" i="22" s="1"/>
  <c r="K24" i="22"/>
  <c r="M24" i="22" s="1"/>
  <c r="K23" i="22"/>
  <c r="M23" i="22" s="1"/>
  <c r="K22" i="22"/>
  <c r="M22" i="22" s="1"/>
  <c r="K21" i="22"/>
  <c r="M21" i="22" s="1"/>
  <c r="K20" i="22"/>
  <c r="M20" i="22" s="1"/>
  <c r="K19" i="22"/>
  <c r="M19" i="22" s="1"/>
  <c r="K18" i="22"/>
  <c r="M18" i="22" s="1"/>
  <c r="K17" i="22"/>
  <c r="M17" i="22" s="1"/>
  <c r="K16" i="22"/>
  <c r="M16" i="22" s="1"/>
  <c r="K15" i="22"/>
  <c r="M15" i="22" s="1"/>
  <c r="K14" i="22"/>
  <c r="M14" i="22" s="1"/>
  <c r="K13" i="22"/>
  <c r="M13" i="22" s="1"/>
  <c r="K12" i="22"/>
  <c r="M12" i="22" s="1"/>
  <c r="K11" i="22"/>
  <c r="M11" i="22" s="1"/>
  <c r="K10" i="22"/>
  <c r="M10" i="22" s="1"/>
  <c r="K7" i="22"/>
  <c r="I5" i="22"/>
  <c r="J5" i="22" s="1"/>
  <c r="K5" i="22" s="1"/>
  <c r="L5" i="22" s="1"/>
  <c r="M5" i="22" s="1"/>
  <c r="N5" i="22" s="1"/>
  <c r="O5" i="22" s="1"/>
  <c r="P5" i="22" s="1"/>
  <c r="Q5" i="22" s="1"/>
  <c r="H5" i="22"/>
  <c r="G67" i="22"/>
  <c r="P56" i="22"/>
  <c r="L10" i="22" l="1"/>
  <c r="L12" i="22"/>
  <c r="L14" i="22"/>
  <c r="L16" i="22"/>
  <c r="L18" i="22"/>
  <c r="L20" i="22"/>
  <c r="L22" i="22"/>
  <c r="L24" i="22"/>
  <c r="L26" i="22"/>
  <c r="L28" i="22"/>
  <c r="L30" i="22"/>
  <c r="L32" i="22"/>
  <c r="L34" i="22"/>
  <c r="L36" i="22"/>
  <c r="L38" i="22"/>
  <c r="L40" i="22"/>
  <c r="L42" i="22"/>
  <c r="L44" i="22"/>
  <c r="L46" i="22"/>
  <c r="L48" i="22"/>
  <c r="L50" i="22"/>
  <c r="K52" i="22"/>
  <c r="L11" i="22"/>
  <c r="L13" i="22"/>
  <c r="L15" i="22"/>
  <c r="L17" i="22"/>
  <c r="L19" i="22"/>
  <c r="L21" i="22"/>
  <c r="L23" i="22"/>
  <c r="L25" i="22"/>
  <c r="L27" i="22"/>
  <c r="L29" i="22"/>
  <c r="L31" i="22"/>
  <c r="L33" i="22"/>
  <c r="L35" i="22"/>
  <c r="L37" i="22"/>
  <c r="L39" i="22"/>
  <c r="L41" i="22"/>
  <c r="L43" i="22"/>
  <c r="L45" i="22"/>
  <c r="L47" i="22"/>
  <c r="L49" i="22"/>
  <c r="L51" i="22"/>
  <c r="L87" i="22"/>
  <c r="M87" i="22"/>
  <c r="H88" i="22"/>
  <c r="M90" i="22"/>
  <c r="L90" i="22"/>
  <c r="K89" i="22"/>
  <c r="J89" i="22"/>
  <c r="K110" i="22"/>
  <c r="K88" i="22"/>
  <c r="I90" i="22"/>
  <c r="J90" i="22"/>
  <c r="J110" i="22"/>
  <c r="H85" i="22"/>
  <c r="H68" i="22"/>
  <c r="H111" i="22" s="1"/>
  <c r="H109" i="22" s="1"/>
  <c r="K68" i="22"/>
  <c r="K111" i="22" s="1"/>
  <c r="K109" i="22" s="1"/>
  <c r="H16" i="22"/>
  <c r="H52" i="22" s="1"/>
  <c r="H98" i="22" s="1"/>
  <c r="K129" i="22" l="1"/>
  <c r="K53" i="22"/>
  <c r="K100" i="22"/>
  <c r="K102" i="22" s="1"/>
  <c r="K98" i="22"/>
  <c r="K113" i="22" s="1"/>
  <c r="M52" i="22"/>
  <c r="L52" i="22"/>
  <c r="H94" i="22"/>
  <c r="K94" i="22"/>
  <c r="K96" i="22" s="1"/>
  <c r="M109" i="22"/>
  <c r="L109" i="22"/>
  <c r="H113" i="22"/>
  <c r="J109" i="22"/>
  <c r="I109" i="22"/>
  <c r="M110" i="22"/>
  <c r="L110" i="22"/>
  <c r="M89" i="22"/>
  <c r="L89" i="22"/>
  <c r="H96" i="22"/>
  <c r="H66" i="22"/>
  <c r="H62" i="22" s="1"/>
  <c r="H70" i="22" s="1"/>
  <c r="K66" i="22"/>
  <c r="K62" i="22" s="1"/>
  <c r="K70" i="22" s="1"/>
  <c r="H100" i="22"/>
  <c r="M53" i="22" l="1"/>
  <c r="L53" i="22"/>
  <c r="K115" i="22"/>
  <c r="H102" i="22"/>
  <c r="H115" i="22"/>
  <c r="F92" i="22" l="1"/>
  <c r="D92" i="22"/>
  <c r="F87" i="22"/>
  <c r="P92" i="22" l="1"/>
  <c r="N92" i="22"/>
  <c r="J92" i="22"/>
  <c r="M92" i="22"/>
  <c r="L92" i="22"/>
  <c r="I92" i="22"/>
  <c r="E78" i="22" l="1"/>
  <c r="E73" i="22"/>
  <c r="E83" i="22" s="1"/>
  <c r="A77" i="22"/>
  <c r="E57" i="22"/>
  <c r="E68" i="22" s="1"/>
  <c r="E67" i="22"/>
  <c r="D57" i="22"/>
  <c r="D68" i="22" s="1"/>
  <c r="A55" i="22"/>
  <c r="E39" i="22"/>
  <c r="E27" i="22"/>
  <c r="E26" i="22"/>
  <c r="E25" i="22"/>
  <c r="E20" i="22"/>
  <c r="E17" i="22"/>
  <c r="E11" i="22"/>
  <c r="D27" i="22"/>
  <c r="D26" i="22"/>
  <c r="D25" i="22"/>
  <c r="E66" i="22" l="1"/>
  <c r="E16" i="22"/>
  <c r="E24" i="22"/>
  <c r="O78" i="22" l="1"/>
  <c r="O57" i="22"/>
  <c r="O68" i="22" s="1"/>
  <c r="G68" i="22" l="1"/>
  <c r="G66" i="22" s="1"/>
  <c r="F61" i="22"/>
  <c r="P61" i="22" l="1"/>
  <c r="O20" i="22" l="1"/>
  <c r="D17" i="22" l="1"/>
  <c r="O17" i="22"/>
  <c r="O16" i="22" s="1"/>
  <c r="G17" i="22"/>
  <c r="F17" i="22" l="1"/>
  <c r="Q17" i="22" l="1"/>
  <c r="P17" i="22"/>
  <c r="F7" i="22" l="1"/>
  <c r="T7" i="22"/>
  <c r="U7" i="22"/>
  <c r="A10" i="22"/>
  <c r="F10" i="22"/>
  <c r="T10" i="22"/>
  <c r="U10" i="22" s="1"/>
  <c r="D11" i="22"/>
  <c r="G11" i="22"/>
  <c r="O11" i="22"/>
  <c r="F12" i="22"/>
  <c r="F13" i="22"/>
  <c r="F14" i="22"/>
  <c r="F15" i="22"/>
  <c r="F18" i="22"/>
  <c r="R18" i="22"/>
  <c r="F19" i="22"/>
  <c r="D20" i="22"/>
  <c r="D16" i="22" s="1"/>
  <c r="G20" i="22"/>
  <c r="G16" i="22" s="1"/>
  <c r="F21" i="22"/>
  <c r="F22" i="22"/>
  <c r="F23" i="22"/>
  <c r="D24" i="22"/>
  <c r="G24" i="22"/>
  <c r="O24" i="22"/>
  <c r="R24" i="22"/>
  <c r="F25" i="22"/>
  <c r="F26" i="22"/>
  <c r="F27" i="22"/>
  <c r="F28" i="22"/>
  <c r="F29" i="22"/>
  <c r="F30" i="22"/>
  <c r="A31" i="22"/>
  <c r="A32" i="22" s="1"/>
  <c r="A33" i="22" s="1"/>
  <c r="A34" i="22" s="1"/>
  <c r="A35" i="22" s="1"/>
  <c r="A36" i="22" s="1"/>
  <c r="F31" i="22"/>
  <c r="F32" i="22"/>
  <c r="F33" i="22"/>
  <c r="F34" i="22"/>
  <c r="F35" i="22"/>
  <c r="F36" i="22"/>
  <c r="F38" i="22"/>
  <c r="D39" i="22"/>
  <c r="G39" i="22"/>
  <c r="O39" i="22"/>
  <c r="F40" i="22"/>
  <c r="F41" i="22"/>
  <c r="F42" i="22"/>
  <c r="F43" i="22"/>
  <c r="F44" i="22"/>
  <c r="A45" i="22"/>
  <c r="A46" i="22" s="1"/>
  <c r="A47" i="22" s="1"/>
  <c r="A48" i="22" s="1"/>
  <c r="A49" i="22" s="1"/>
  <c r="A50" i="22" s="1"/>
  <c r="A51" i="22" s="1"/>
  <c r="F45" i="22"/>
  <c r="F46" i="22"/>
  <c r="F47" i="22"/>
  <c r="F48" i="22"/>
  <c r="F49" i="22"/>
  <c r="F50" i="22"/>
  <c r="F51" i="22"/>
  <c r="V52" i="22"/>
  <c r="F54" i="22"/>
  <c r="F55" i="22"/>
  <c r="D111" i="22"/>
  <c r="E111" i="22"/>
  <c r="O111" i="22"/>
  <c r="F58" i="22"/>
  <c r="F59" i="22"/>
  <c r="F60" i="22"/>
  <c r="D107" i="22"/>
  <c r="E107" i="22"/>
  <c r="G107" i="22"/>
  <c r="D108" i="22"/>
  <c r="O108" i="22"/>
  <c r="D67" i="22"/>
  <c r="O67" i="22"/>
  <c r="O66" i="22" s="1"/>
  <c r="D73" i="22"/>
  <c r="D83" i="22" s="1"/>
  <c r="G73" i="22"/>
  <c r="G83" i="22" s="1"/>
  <c r="O73" i="22"/>
  <c r="O83" i="22" s="1"/>
  <c r="F74" i="22"/>
  <c r="F75" i="22"/>
  <c r="F76" i="22"/>
  <c r="A78" i="22"/>
  <c r="F77" i="22"/>
  <c r="D78" i="22"/>
  <c r="G78" i="22"/>
  <c r="F79" i="22"/>
  <c r="F80" i="22"/>
  <c r="F81" i="22"/>
  <c r="F82" i="22"/>
  <c r="F86" i="22"/>
  <c r="D90" i="22"/>
  <c r="D89" i="22" s="1"/>
  <c r="D88" i="22" s="1"/>
  <c r="E90" i="22"/>
  <c r="E89" i="22" s="1"/>
  <c r="E88" i="22" s="1"/>
  <c r="G90" i="22"/>
  <c r="G89" i="22" s="1"/>
  <c r="G88" i="22" s="1"/>
  <c r="O90" i="22"/>
  <c r="O89" i="22" s="1"/>
  <c r="O88" i="22" s="1"/>
  <c r="F91" i="22"/>
  <c r="F104" i="22"/>
  <c r="O107" i="22"/>
  <c r="F37" i="22"/>
  <c r="N82" i="22" l="1"/>
  <c r="M82" i="22"/>
  <c r="L82" i="22"/>
  <c r="J82" i="22"/>
  <c r="I82" i="22"/>
  <c r="J81" i="22"/>
  <c r="M81" i="22"/>
  <c r="I81" i="22"/>
  <c r="N81" i="22"/>
  <c r="L81" i="22"/>
  <c r="I79" i="22"/>
  <c r="L79" i="22"/>
  <c r="I77" i="22"/>
  <c r="N77" i="22"/>
  <c r="M77" i="22"/>
  <c r="L77" i="22"/>
  <c r="L76" i="22"/>
  <c r="N76" i="22"/>
  <c r="M76" i="22"/>
  <c r="J76" i="22"/>
  <c r="I76" i="22"/>
  <c r="L75" i="22"/>
  <c r="I75" i="22"/>
  <c r="N74" i="22"/>
  <c r="J74" i="22"/>
  <c r="M74" i="22"/>
  <c r="I74" i="22"/>
  <c r="L74" i="22"/>
  <c r="L104" i="22"/>
  <c r="I104" i="22"/>
  <c r="G94" i="22"/>
  <c r="F94" i="22" s="1"/>
  <c r="O94" i="22"/>
  <c r="P59" i="22"/>
  <c r="Q41" i="22"/>
  <c r="R41" i="22" s="1"/>
  <c r="Q45" i="22"/>
  <c r="R45" i="22" s="1"/>
  <c r="P42" i="22"/>
  <c r="D52" i="22"/>
  <c r="D98" i="22" s="1"/>
  <c r="P47" i="22"/>
  <c r="Q104" i="22"/>
  <c r="Q32" i="22"/>
  <c r="P18" i="22"/>
  <c r="P46" i="22"/>
  <c r="Q46" i="22"/>
  <c r="D110" i="22"/>
  <c r="D109" i="22" s="1"/>
  <c r="G110" i="22"/>
  <c r="Q21" i="22"/>
  <c r="T29" i="22"/>
  <c r="O52" i="22"/>
  <c r="T50" i="22" s="1"/>
  <c r="Q81" i="22"/>
  <c r="P35" i="22"/>
  <c r="P33" i="22"/>
  <c r="Q29" i="22"/>
  <c r="P29" i="22"/>
  <c r="F20" i="22"/>
  <c r="F11" i="22"/>
  <c r="O62" i="22"/>
  <c r="Q55" i="22"/>
  <c r="Q35" i="22"/>
  <c r="P32" i="22"/>
  <c r="F24" i="22"/>
  <c r="Q19" i="22"/>
  <c r="P19" i="22"/>
  <c r="P14" i="22"/>
  <c r="Q15" i="22"/>
  <c r="P15" i="22"/>
  <c r="Q22" i="22"/>
  <c r="P21" i="22"/>
  <c r="P22" i="22"/>
  <c r="Q7" i="22"/>
  <c r="Q34" i="22"/>
  <c r="R34" i="22" s="1"/>
  <c r="P23" i="22"/>
  <c r="P7" i="22"/>
  <c r="P34" i="22"/>
  <c r="P28" i="22"/>
  <c r="Q26" i="22"/>
  <c r="P31" i="22"/>
  <c r="P26" i="22"/>
  <c r="Q18" i="22"/>
  <c r="P10" i="22"/>
  <c r="F65" i="22"/>
  <c r="L65" i="22" s="1"/>
  <c r="Q36" i="22"/>
  <c r="Q30" i="22"/>
  <c r="R30" i="22" s="1"/>
  <c r="Q27" i="22"/>
  <c r="R27" i="22" s="1"/>
  <c r="Q25" i="22"/>
  <c r="F16" i="22"/>
  <c r="Q12" i="22"/>
  <c r="S24" i="22"/>
  <c r="T27" i="22"/>
  <c r="P13" i="22"/>
  <c r="P36" i="22"/>
  <c r="Q33" i="22"/>
  <c r="Q31" i="22"/>
  <c r="P30" i="22"/>
  <c r="Q28" i="22"/>
  <c r="P27" i="22"/>
  <c r="P25" i="22"/>
  <c r="S18" i="22"/>
  <c r="Q14" i="22"/>
  <c r="P12" i="22"/>
  <c r="P81" i="22"/>
  <c r="F73" i="22"/>
  <c r="P55" i="22"/>
  <c r="P40" i="22"/>
  <c r="P44" i="22"/>
  <c r="F78" i="22"/>
  <c r="Q49" i="22"/>
  <c r="P49" i="22"/>
  <c r="P51" i="22"/>
  <c r="Q38" i="22"/>
  <c r="Q42" i="22"/>
  <c r="D94" i="22"/>
  <c r="D96" i="22" s="1"/>
  <c r="E62" i="22"/>
  <c r="P74" i="22"/>
  <c r="Q76" i="22"/>
  <c r="P45" i="22"/>
  <c r="G108" i="22"/>
  <c r="F108" i="22" s="1"/>
  <c r="Q44" i="22"/>
  <c r="Q40" i="22"/>
  <c r="R40" i="22" s="1"/>
  <c r="Q74" i="22"/>
  <c r="F64" i="22"/>
  <c r="L64" i="22" s="1"/>
  <c r="F88" i="22"/>
  <c r="P50" i="22"/>
  <c r="O110" i="22"/>
  <c r="O109" i="22" s="1"/>
  <c r="Q79" i="22"/>
  <c r="P80" i="22"/>
  <c r="P76" i="22"/>
  <c r="F90" i="22"/>
  <c r="P79" i="22"/>
  <c r="F57" i="22"/>
  <c r="F39" i="22"/>
  <c r="P91" i="22"/>
  <c r="O85" i="22"/>
  <c r="E110" i="22"/>
  <c r="E109" i="22" s="1"/>
  <c r="P60" i="22"/>
  <c r="P58" i="22"/>
  <c r="P54" i="22"/>
  <c r="Q48" i="22"/>
  <c r="E108" i="22"/>
  <c r="F107" i="22"/>
  <c r="D85" i="22"/>
  <c r="P75" i="22"/>
  <c r="Q75" i="22"/>
  <c r="D66" i="22"/>
  <c r="D62" i="22" s="1"/>
  <c r="P48" i="22"/>
  <c r="P104" i="22"/>
  <c r="F67" i="22"/>
  <c r="P41" i="22"/>
  <c r="P38" i="22"/>
  <c r="Q82" i="22"/>
  <c r="Q43" i="22"/>
  <c r="P82" i="22"/>
  <c r="P77" i="22"/>
  <c r="Q77" i="22"/>
  <c r="Q54" i="22"/>
  <c r="P43" i="22"/>
  <c r="P86" i="22"/>
  <c r="P37" i="22"/>
  <c r="A37" i="22"/>
  <c r="A38" i="22" s="1"/>
  <c r="A39" i="22" s="1"/>
  <c r="C5" i="22"/>
  <c r="D5" i="22" s="1"/>
  <c r="E5" i="22" s="1"/>
  <c r="F5" i="22" s="1"/>
  <c r="G5" i="22" s="1"/>
  <c r="N88" i="22" l="1"/>
  <c r="I88" i="22"/>
  <c r="M88" i="22"/>
  <c r="J88" i="22"/>
  <c r="L88" i="22"/>
  <c r="L78" i="22"/>
  <c r="I78" i="22"/>
  <c r="N78" i="22"/>
  <c r="M78" i="22"/>
  <c r="J78" i="22"/>
  <c r="N94" i="22"/>
  <c r="M94" i="22"/>
  <c r="L94" i="22"/>
  <c r="I94" i="22"/>
  <c r="J94" i="22"/>
  <c r="M73" i="22"/>
  <c r="L73" i="22"/>
  <c r="N73" i="22"/>
  <c r="I73" i="22"/>
  <c r="J73" i="22"/>
  <c r="I108" i="22"/>
  <c r="L108" i="22"/>
  <c r="I107" i="22"/>
  <c r="L107" i="22"/>
  <c r="P73" i="22"/>
  <c r="P88" i="22"/>
  <c r="P90" i="22"/>
  <c r="G85" i="22"/>
  <c r="F85" i="22" s="1"/>
  <c r="F83" i="22"/>
  <c r="E52" i="22"/>
  <c r="D113" i="22"/>
  <c r="D125" i="22" s="1"/>
  <c r="O100" i="22"/>
  <c r="O102" i="22" s="1"/>
  <c r="S52" i="22"/>
  <c r="O98" i="22"/>
  <c r="O113" i="22" s="1"/>
  <c r="S113" i="22" s="1"/>
  <c r="O70" i="22"/>
  <c r="Q11" i="22"/>
  <c r="G52" i="22"/>
  <c r="F52" i="22" s="1"/>
  <c r="D100" i="22"/>
  <c r="D102" i="22" s="1"/>
  <c r="P11" i="22"/>
  <c r="P20" i="22"/>
  <c r="Q20" i="22"/>
  <c r="P78" i="22"/>
  <c r="Q24" i="22"/>
  <c r="P24" i="22"/>
  <c r="Q73" i="22"/>
  <c r="D70" i="22"/>
  <c r="D115" i="22" s="1"/>
  <c r="P16" i="22"/>
  <c r="Q16" i="22"/>
  <c r="Q78" i="22"/>
  <c r="G96" i="22"/>
  <c r="F96" i="22" s="1"/>
  <c r="P107" i="22"/>
  <c r="P39" i="22"/>
  <c r="Q39" i="22"/>
  <c r="F68" i="22"/>
  <c r="G111" i="22"/>
  <c r="F110" i="22"/>
  <c r="P57" i="22"/>
  <c r="P108" i="22"/>
  <c r="G62" i="22"/>
  <c r="F66" i="22"/>
  <c r="S94" i="22"/>
  <c r="O96" i="22"/>
  <c r="P67" i="22"/>
  <c r="Q67" i="22"/>
  <c r="N85" i="22" l="1"/>
  <c r="M85" i="22"/>
  <c r="L85" i="22"/>
  <c r="J85" i="22"/>
  <c r="I85" i="22"/>
  <c r="N96" i="22"/>
  <c r="M96" i="22"/>
  <c r="L96" i="22"/>
  <c r="J96" i="22"/>
  <c r="I96" i="22"/>
  <c r="L83" i="22"/>
  <c r="N83" i="22"/>
  <c r="M83" i="22"/>
  <c r="I83" i="22"/>
  <c r="J83" i="22"/>
  <c r="S70" i="22"/>
  <c r="O115" i="22"/>
  <c r="P83" i="22"/>
  <c r="Q85" i="22"/>
  <c r="P85" i="22"/>
  <c r="Q83" i="22"/>
  <c r="E70" i="22"/>
  <c r="E115" i="22" s="1"/>
  <c r="S50" i="22"/>
  <c r="U50" i="22" s="1"/>
  <c r="G98" i="22"/>
  <c r="F98" i="22" s="1"/>
  <c r="G100" i="22"/>
  <c r="Q52" i="22"/>
  <c r="P52" i="22"/>
  <c r="Q68" i="22"/>
  <c r="P68" i="22"/>
  <c r="Q66" i="22"/>
  <c r="P66" i="22"/>
  <c r="E85" i="22"/>
  <c r="E98" i="22"/>
  <c r="E113" i="22" s="1"/>
  <c r="E94" i="22"/>
  <c r="E96" i="22" s="1"/>
  <c r="G70" i="22"/>
  <c r="G115" i="22" s="1"/>
  <c r="F62" i="22"/>
  <c r="P110" i="22"/>
  <c r="Q110" i="22"/>
  <c r="Q96" i="22"/>
  <c r="P96" i="22"/>
  <c r="P94" i="22"/>
  <c r="Q94" i="22"/>
  <c r="F111" i="22"/>
  <c r="G109" i="22"/>
  <c r="N98" i="22" l="1"/>
  <c r="M98" i="22"/>
  <c r="L98" i="22"/>
  <c r="J98" i="22"/>
  <c r="I98" i="22"/>
  <c r="L62" i="22"/>
  <c r="I62" i="22"/>
  <c r="N62" i="22"/>
  <c r="M62" i="22"/>
  <c r="J62" i="22"/>
  <c r="P98" i="22"/>
  <c r="E125" i="22"/>
  <c r="E127" i="22"/>
  <c r="G102" i="22"/>
  <c r="F102" i="22" s="1"/>
  <c r="F100" i="22"/>
  <c r="Q98" i="22"/>
  <c r="F109" i="22"/>
  <c r="P111" i="22"/>
  <c r="Q111" i="22"/>
  <c r="Q62" i="22"/>
  <c r="P62" i="22"/>
  <c r="F70" i="22"/>
  <c r="E100" i="22"/>
  <c r="N100" i="22" l="1"/>
  <c r="L100" i="22"/>
  <c r="M100" i="22"/>
  <c r="J100" i="22"/>
  <c r="I100" i="22"/>
  <c r="N70" i="22"/>
  <c r="M70" i="22"/>
  <c r="J70" i="22"/>
  <c r="L70" i="22"/>
  <c r="I70" i="22"/>
  <c r="M102" i="22"/>
  <c r="L102" i="22"/>
  <c r="J102" i="22"/>
  <c r="I102" i="22"/>
  <c r="F115" i="22"/>
  <c r="P100" i="22"/>
  <c r="Q100" i="22"/>
  <c r="P102" i="22"/>
  <c r="Q102" i="22"/>
  <c r="F106" i="22"/>
  <c r="G113" i="22"/>
  <c r="F113" i="22" s="1"/>
  <c r="E102" i="22"/>
  <c r="N102" i="22" s="1"/>
  <c r="P109" i="22"/>
  <c r="Q109" i="22"/>
  <c r="Q70" i="22"/>
  <c r="P70" i="22"/>
  <c r="N113" i="22" l="1"/>
  <c r="M113" i="22"/>
  <c r="J113" i="22"/>
  <c r="L113" i="22"/>
  <c r="I113" i="22"/>
  <c r="M106" i="22"/>
  <c r="L106" i="22"/>
  <c r="J106" i="22"/>
  <c r="I106" i="22"/>
  <c r="N106" i="22"/>
  <c r="Q115" i="22"/>
  <c r="J115" i="22"/>
  <c r="M115" i="22" s="1"/>
  <c r="I115" i="22"/>
  <c r="N115" i="22"/>
  <c r="L115" i="22"/>
  <c r="P115" i="22"/>
  <c r="F127" i="22"/>
  <c r="P113" i="22"/>
  <c r="Q113" i="22"/>
  <c r="F125" i="22"/>
  <c r="Q106" i="22"/>
  <c r="P106" i="22"/>
</calcChain>
</file>

<file path=xl/sharedStrings.xml><?xml version="1.0" encoding="utf-8"?>
<sst xmlns="http://schemas.openxmlformats.org/spreadsheetml/2006/main" count="431" uniqueCount="229">
  <si>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</si>
  <si>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</si>
  <si>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</si>
  <si>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</si>
  <si>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</si>
  <si>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</si>
  <si>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</si>
  <si>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</si>
  <si>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</si>
  <si>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</si>
  <si>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</si>
  <si>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</si>
  <si>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</si>
  <si>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</si>
  <si>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</si>
  <si>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</si>
  <si>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</si>
  <si>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</si>
  <si>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</si>
  <si>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</si>
  <si>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</si>
  <si>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</si>
  <si>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</si>
  <si>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</si>
  <si>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</si>
  <si>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</si>
  <si>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</si>
  <si>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</si>
  <si>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</si>
  <si>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</si>
  <si>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</si>
  <si>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</si>
  <si>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</si>
  <si>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</si>
  <si>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</si>
  <si>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</si>
  <si>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</si>
  <si>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</si>
  <si>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</si>
  <si>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</si>
  <si>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</si>
  <si>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</si>
  <si>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</si>
  <si>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</si>
  <si>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</si>
  <si>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</si>
  <si>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</si>
  <si>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</si>
  <si>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</si>
  <si>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</si>
  <si>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</si>
  <si>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</si>
  <si>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</si>
  <si>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</si>
  <si>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</si>
  <si>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</si>
  <si>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</si>
  <si>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</si>
  <si>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</si>
  <si>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</si>
  <si>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</si>
  <si>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</si>
  <si>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</si>
  <si>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</si>
  <si>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Власні і закріплені доходи
(без власних надходжень бюджетних установ ККД 25000000)</t>
  </si>
  <si>
    <t>ВСЬОГО ДОХОДІВ СПЕЦІАЛЬНОГО ФОНДУ 
(без власних надходжень бюджетних установ ККД 25000000)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</si>
  <si>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</si>
  <si>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</si>
  <si>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</si>
  <si>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</si>
  <si>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</si>
  <si>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</si>
  <si>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</si>
  <si>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</si>
  <si>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</si>
  <si>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</si>
  <si>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</si>
  <si>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</si>
  <si>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</si>
  <si>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</si>
  <si>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</si>
  <si>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</si>
  <si>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</si>
  <si>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</si>
  <si>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</si>
  <si>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</si>
  <si>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</si>
  <si>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</si>
  <si>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</si>
  <si>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</si>
  <si>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</si>
  <si>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</si>
  <si>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</si>
  <si>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</si>
  <si>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</si>
  <si>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</si>
  <si>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</si>
  <si>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</si>
  <si>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</si>
  <si>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</si>
  <si>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</si>
  <si>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</si>
  <si>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</si>
  <si>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</si>
  <si>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</si>
  <si>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</si>
  <si>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</si>
  <si>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</si>
  <si>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</si>
  <si>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</si>
  <si>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</si>
  <si>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</si>
  <si>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</si>
  <si>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</si>
  <si>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</si>
  <si>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</si>
  <si>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</si>
  <si>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</si>
  <si>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</si>
  <si>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</si>
  <si>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</si>
  <si>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</si>
  <si>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</si>
  <si>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</si>
  <si>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</si>
  <si>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</si>
  <si>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</si>
  <si>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</si>
  <si>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</si>
  <si>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</si>
  <si>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</si>
  <si>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</si>
  <si>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</si>
  <si>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</si>
  <si>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</si>
  <si>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</si>
  <si>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</si>
  <si>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6.1.</t>
  </si>
  <si>
    <t>6.2.</t>
  </si>
  <si>
    <t>6.3.</t>
  </si>
  <si>
    <t>6.4.</t>
  </si>
  <si>
    <t>6.5.</t>
  </si>
  <si>
    <t>7.2.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</si>
  <si>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</si>
  <si>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</si>
  <si>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</si>
  <si>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</si>
  <si>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</si>
  <si>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</si>
  <si>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</si>
  <si>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</si>
  <si>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</si>
  <si>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</si>
  <si>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</si>
  <si>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</si>
  <si>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</si>
  <si>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</si>
  <si>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</si>
  <si>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</si>
  <si>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</si>
  <si>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</si>
  <si>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</si>
  <si>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</si>
  <si>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</si>
  <si>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
(без власних надходжень бюджетних установ ККД 25000000)</t>
  </si>
  <si>
    <t>Всього власних доходів загального фонду</t>
  </si>
  <si>
    <t>Власні доходи</t>
  </si>
  <si>
    <t>Власні доходи 
(без власних надходжень бюджетних установ ККД 25000000) 
+освітня субвенція+реверсна дотація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</si>
  <si>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</si>
  <si>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</si>
  <si>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</si>
  <si>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Аналіз виконання бюджету Вінницької міської територіальної громади за січень 2024 року (за оперативними даними)</t>
  </si>
  <si>
    <t>Надійшло за січень 2024р.</t>
  </si>
  <si>
    <t>Бюджет 
на 2024 рік</t>
  </si>
  <si>
    <t>Уточнений бюджет на 2024 рік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</si>
  <si>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</si>
  <si>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</si>
  <si>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</si>
  <si>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План на січень 2024 року</t>
  </si>
  <si>
    <t>План на січень 2024р. (розрахунковий)</t>
  </si>
  <si>
    <t>Надійшло за січень 2023р.</t>
  </si>
  <si>
    <t>Відхилення факту  2024р. від факту 2023р.</t>
  </si>
  <si>
    <t>Відхилення надходжень до плану на січень 2024 року</t>
  </si>
  <si>
    <t xml:space="preserve">Відхилення надходжень до плану на січень 2024 року (розрахунковий) </t>
  </si>
  <si>
    <t>% виконання до бюджету на 2024р. (норма 8,3%)</t>
  </si>
  <si>
    <t>11010200</t>
  </si>
  <si>
    <r>
      <t xml:space="preserve">Податок на доходи фізичних осіб з грошового забезпечення, грошових винагород та інших виплат, одержаних </t>
    </r>
    <r>
      <rPr>
        <b/>
        <i/>
        <u/>
        <sz val="15"/>
        <rFont val="Times New Roman"/>
        <family val="1"/>
        <charset val="204"/>
      </rPr>
      <t>військовослужбовцями</t>
    </r>
    <r>
      <rPr>
        <i/>
        <sz val="15"/>
        <rFont val="Times New Roman"/>
        <family val="1"/>
        <charset val="204"/>
      </rPr>
      <t xml:space="preserve"> та особами рядового і начальницького складу, що сплачується податковими агентами</t>
    </r>
  </si>
  <si>
    <t xml:space="preserve">Всього власних доходів загального фонду
(без ПДФО "військовослужбовців" ККД 11010200) </t>
  </si>
  <si>
    <t xml:space="preserve">Податок та збір на доходи фізичних осіб (без ПДФО "військовослужбовців" ККД 11010200) </t>
  </si>
  <si>
    <t>4.4.</t>
  </si>
  <si>
    <t>4.3.</t>
  </si>
  <si>
    <t xml:space="preserve">ВСЬОГО ДОХОДІВ ЗАГАЛЬНОГО ФОНДУ
(без ПДФО "військовослужбовців" ККД 11010200) </t>
  </si>
  <si>
    <t xml:space="preserve">ВСЬОГО ДОХОДІВ ЗАГАЛЬНОГО 
ТА СПЕЦІАЛЬНОГО ФОНДІВ
(без ПДФО "військовослужбовців" ККД 11010200) 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</si>
  <si>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</si>
  <si>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</si>
  <si>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</si>
  <si>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</si>
  <si>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</si>
  <si>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</si>
  <si>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</si>
  <si>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</si>
  <si>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</si>
  <si>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 xml:space="preserve">Власні доходи
(без ПДФО "військовослужбовців" ККД 11010200) 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</si>
  <si>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</si>
  <si>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41040400</t>
  </si>
  <si>
    <t>Інші дотації з місцевого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</si>
  <si>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</si>
  <si>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</si>
  <si>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лютий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</si>
  <si>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</si>
  <si>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</si>
  <si>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Податок та збір на доходи фізичних осіб 
(без ПДФО "військовослужбовців" ККД 11010200)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</si>
  <si>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</si>
  <si>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41021400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</si>
  <si>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</si>
  <si>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</si>
  <si>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Надійшло за січень - березень 2024р.</t>
  </si>
  <si>
    <t>План на січень - березень 2024 року</t>
  </si>
  <si>
    <t>Відхилення надходжень до плану на січень - березень 2024 року</t>
  </si>
  <si>
    <t>План на січень - березень 2024р. (розрахунковий)</t>
  </si>
  <si>
    <t xml:space="preserve">Відхилення надходжень до плану на січень - березень 2024 року (розрахунковий) </t>
  </si>
  <si>
    <t>% виконання до бюджету на 2024р. (норма 25,0%)</t>
  </si>
  <si>
    <t>Надійшло за січень - березень 2023р.</t>
  </si>
  <si>
    <t>березень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</si>
  <si>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</si>
  <si>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бюджету Якушинецької сільської територіальної громади  на надання освітніх послуг дітям 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</si>
  <si>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5.6.</t>
  </si>
  <si>
    <t>Місцеві податки, нараховані до 1 січня 2011 року</t>
  </si>
  <si>
    <t>Аналіз виконання бюджету Вінницької міської територіальної громади за січень - березень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</si>
</sst>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7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i/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262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0" fontId="31" fillId="0" borderId="1" xfId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horizontal="left" vertical="center" wrapText="1"/>
    </xf>
    <xf numFmtId="49" fontId="32" fillId="0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31" fillId="0" borderId="1" xfId="1" applyFont="1" applyFill="1" applyBorder="1" applyAlignment="1">
      <alignment vertical="center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166" fontId="30" fillId="2" borderId="1" xfId="1" applyNumberFormat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center" vertical="center"/>
    </xf>
    <xf numFmtId="0" fontId="33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0" fontId="32" fillId="0" borderId="1" xfId="3" applyFont="1" applyFill="1" applyBorder="1" applyAlignment="1">
      <alignment horizontal="center" vertical="center" wrapText="1"/>
    </xf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0" fontId="37" fillId="0" borderId="1" xfId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49" fontId="36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166" fontId="32" fillId="2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166" fontId="30" fillId="2" borderId="0" xfId="1" applyNumberFormat="1" applyFont="1" applyFill="1" applyBorder="1" applyAlignment="1">
      <alignment horizontal="center" vertical="center" wrapText="1"/>
    </xf>
    <xf numFmtId="0" fontId="29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1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 wrapText="1"/>
    </xf>
    <xf numFmtId="165" fontId="42" fillId="2" borderId="1" xfId="1" applyNumberFormat="1" applyFont="1" applyFill="1" applyBorder="1" applyAlignment="1">
      <alignment horizontal="center" vertical="center" wrapText="1"/>
    </xf>
    <xf numFmtId="166" fontId="42" fillId="2" borderId="1" xfId="1" applyNumberFormat="1" applyFont="1" applyFill="1" applyBorder="1" applyAlignment="1">
      <alignment horizontal="center" vertical="center" wrapText="1"/>
    </xf>
    <xf numFmtId="166" fontId="42" fillId="2" borderId="1" xfId="3" applyNumberFormat="1" applyFont="1" applyFill="1" applyBorder="1" applyAlignment="1">
      <alignment horizontal="center" vertical="center"/>
    </xf>
    <xf numFmtId="164" fontId="42" fillId="2" borderId="1" xfId="3" applyNumberFormat="1" applyFont="1" applyFill="1" applyBorder="1" applyAlignment="1">
      <alignment horizontal="center" vertical="center"/>
    </xf>
    <xf numFmtId="166" fontId="41" fillId="2" borderId="0" xfId="1" applyNumberFormat="1" applyFont="1" applyFill="1" applyBorder="1"/>
    <xf numFmtId="0" fontId="41" fillId="2" borderId="0" xfId="1" applyFont="1" applyFill="1" applyBorder="1"/>
    <xf numFmtId="49" fontId="42" fillId="2" borderId="1" xfId="1" applyNumberFormat="1" applyFont="1" applyFill="1" applyBorder="1" applyAlignment="1">
      <alignment horizontal="center" vertical="center" wrapText="1"/>
    </xf>
    <xf numFmtId="0" fontId="41" fillId="0" borderId="1" xfId="1" applyFont="1" applyFill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 wrapText="1"/>
    </xf>
    <xf numFmtId="49" fontId="42" fillId="0" borderId="1" xfId="1" applyNumberFormat="1" applyFont="1" applyFill="1" applyBorder="1" applyAlignment="1">
      <alignment horizontal="center" vertical="center" wrapText="1"/>
    </xf>
    <xf numFmtId="166" fontId="42" fillId="0" borderId="1" xfId="1" applyNumberFormat="1" applyFont="1" applyFill="1" applyBorder="1" applyAlignment="1">
      <alignment horizontal="center" vertical="center" wrapText="1"/>
    </xf>
    <xf numFmtId="166" fontId="42" fillId="0" borderId="1" xfId="3" applyNumberFormat="1" applyFont="1" applyFill="1" applyBorder="1" applyAlignment="1">
      <alignment horizontal="center" vertical="center"/>
    </xf>
    <xf numFmtId="164" fontId="42" fillId="0" borderId="1" xfId="3" applyNumberFormat="1" applyFont="1" applyFill="1" applyBorder="1" applyAlignment="1">
      <alignment horizontal="center" vertical="center"/>
    </xf>
    <xf numFmtId="0" fontId="41" fillId="0" borderId="0" xfId="1" applyFont="1" applyFill="1" applyBorder="1"/>
    <xf numFmtId="0" fontId="41" fillId="2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vertical="center"/>
    </xf>
    <xf numFmtId="0" fontId="42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166" fontId="20" fillId="2" borderId="1" xfId="1" applyNumberFormat="1" applyFont="1" applyFill="1" applyBorder="1" applyAlignment="1">
      <alignment horizontal="center" vertical="center" wrapText="1"/>
    </xf>
    <xf numFmtId="166" fontId="20" fillId="0" borderId="1" xfId="3" applyNumberFormat="1" applyFont="1" applyFill="1" applyBorder="1" applyAlignment="1">
      <alignment horizontal="center" vertical="center"/>
    </xf>
    <xf numFmtId="164" fontId="20" fillId="0" borderId="1" xfId="3" applyNumberFormat="1" applyFont="1" applyFill="1" applyBorder="1" applyAlignment="1">
      <alignment horizontal="center" vertical="center"/>
    </xf>
    <xf numFmtId="49" fontId="31" fillId="0" borderId="1" xfId="1" applyNumberFormat="1" applyFont="1" applyFill="1" applyBorder="1" applyAlignment="1">
      <alignment horizontal="center" vertical="center"/>
    </xf>
    <xf numFmtId="49" fontId="43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3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/>
    </xf>
    <xf numFmtId="167" fontId="30" fillId="0" borderId="1" xfId="3" applyNumberFormat="1" applyFont="1" applyFill="1" applyBorder="1"/>
    <xf numFmtId="167" fontId="30" fillId="2" borderId="1" xfId="3" applyNumberFormat="1" applyFont="1" applyFill="1" applyBorder="1"/>
    <xf numFmtId="49" fontId="40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168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8" fontId="38" fillId="0" borderId="1" xfId="3" applyNumberFormat="1" applyFont="1" applyFill="1" applyBorder="1" applyAlignment="1">
      <alignment horizontal="center" vertical="center" wrapText="1"/>
    </xf>
    <xf numFmtId="168" fontId="39" fillId="0" borderId="1" xfId="3" applyNumberFormat="1" applyFont="1" applyFill="1" applyBorder="1" applyAlignment="1">
      <alignment horizontal="center" vertical="center" wrapText="1"/>
    </xf>
    <xf numFmtId="168" fontId="32" fillId="2" borderId="1" xfId="3" applyNumberFormat="1" applyFont="1" applyFill="1" applyBorder="1" applyAlignment="1">
      <alignment horizontal="center" vertical="center" wrapText="1"/>
    </xf>
    <xf numFmtId="168" fontId="32" fillId="2" borderId="1" xfId="1" applyNumberFormat="1" applyFont="1" applyFill="1" applyBorder="1" applyAlignment="1">
      <alignment horizontal="center" vertical="center" wrapText="1"/>
    </xf>
    <xf numFmtId="168" fontId="36" fillId="0" borderId="1" xfId="1" applyNumberFormat="1" applyFont="1" applyFill="1" applyBorder="1" applyAlignment="1">
      <alignment horizontal="center" vertical="center" wrapText="1"/>
    </xf>
    <xf numFmtId="168" fontId="39" fillId="0" borderId="1" xfId="1" applyNumberFormat="1" applyFont="1" applyFill="1" applyBorder="1" applyAlignment="1">
      <alignment horizontal="center" vertical="center" wrapText="1"/>
    </xf>
    <xf numFmtId="168" fontId="42" fillId="2" borderId="1" xfId="1" applyNumberFormat="1" applyFont="1" applyFill="1" applyBorder="1" applyAlignment="1">
      <alignment horizontal="center" vertical="center" wrapText="1"/>
    </xf>
    <xf numFmtId="168" fontId="42" fillId="0" borderId="1" xfId="1" applyNumberFormat="1" applyFont="1" applyFill="1" applyBorder="1" applyAlignment="1">
      <alignment horizontal="center" vertical="center" wrapText="1"/>
    </xf>
    <xf numFmtId="168" fontId="20" fillId="0" borderId="1" xfId="1" applyNumberFormat="1" applyFont="1" applyFill="1" applyBorder="1" applyAlignment="1">
      <alignment horizontal="center" vertical="center" wrapText="1"/>
    </xf>
    <xf numFmtId="168" fontId="30" fillId="0" borderId="1" xfId="3" applyNumberFormat="1" applyFont="1" applyFill="1" applyBorder="1"/>
    <xf numFmtId="166" fontId="36" fillId="2" borderId="1" xfId="3" applyNumberFormat="1" applyFont="1" applyFill="1" applyBorder="1" applyAlignment="1">
      <alignment horizontal="center" vertical="center" wrapText="1"/>
    </xf>
    <xf numFmtId="168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166" fontId="46" fillId="0" borderId="0" xfId="3" applyNumberFormat="1" applyFont="1" applyFill="1" applyBorder="1"/>
    <xf numFmtId="164" fontId="46" fillId="0" borderId="0" xfId="3" applyNumberFormat="1" applyFont="1" applyFill="1" applyBorder="1"/>
    <xf numFmtId="0" fontId="46" fillId="0" borderId="0" xfId="3" applyFont="1" applyFill="1" applyBorder="1"/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8" fontId="36" fillId="2" borderId="1" xfId="3" applyNumberFormat="1" applyFont="1" applyFill="1" applyBorder="1" applyAlignment="1">
      <alignment horizontal="center" vertical="center" wrapText="1"/>
    </xf>
    <xf numFmtId="166" fontId="36" fillId="2" borderId="1" xfId="3" applyNumberFormat="1" applyFont="1" applyFill="1" applyBorder="1" applyAlignment="1">
      <alignment horizontal="center" vertical="center"/>
    </xf>
    <xf numFmtId="164" fontId="36" fillId="2" borderId="1" xfId="3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vertical="center" wrapText="1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9" fillId="0" borderId="1" xfId="1" applyNumberFormat="1" applyFont="1" applyFill="1" applyBorder="1" applyAlignment="1">
      <alignment horizontal="center" vertical="center" wrapTex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45" fillId="0" borderId="2" xfId="3" applyFont="1" applyFill="1" applyBorder="1" applyAlignment="1">
      <alignment horizontal="center" vertical="center" wrapText="1"/>
    </xf>
    <xf numFmtId="0" fontId="45" fillId="0" borderId="4" xfId="3" applyFont="1" applyFill="1" applyBorder="1" applyAlignment="1">
      <alignment horizontal="center" vertical="center" wrapText="1"/>
    </xf>
    <xf numFmtId="166" fontId="39" fillId="0" borderId="2" xfId="3" applyNumberFormat="1" applyFont="1" applyFill="1" applyBorder="1" applyAlignment="1">
      <alignment horizontal="center" vertical="center" wrapText="1"/>
    </xf>
    <xf numFmtId="166" fontId="39" fillId="0" borderId="3" xfId="3" applyNumberFormat="1" applyFont="1" applyFill="1" applyBorder="1" applyAlignment="1">
      <alignment horizontal="center" vertical="center" wrapText="1"/>
    </xf>
    <xf numFmtId="166" fontId="39" fillId="0" borderId="4" xfId="3" applyNumberFormat="1" applyFont="1" applyFill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32" fillId="2" borderId="3" xfId="3" applyFont="1" applyFill="1" applyBorder="1" applyAlignment="1">
      <alignment horizontal="center" vertical="center" wrapText="1"/>
    </xf>
    <xf numFmtId="0" fontId="32" fillId="2" borderId="4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29" fillId="2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45" fillId="2" borderId="1" xfId="3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3"/>
  <sheetViews>
    <sheetView showGridLines="0" view="pageBreakPreview" zoomScale="60" zoomScaleNormal="75" workbookViewId="0">
      <pane xSplit="3" ySplit="4" topLeftCell="D84" activePane="bottomRight" state="frozen"/>
      <selection pane="topRight" activeCell="D1" sqref="D1"/>
      <selection pane="bottomLeft" activeCell="A5" sqref="A5"/>
      <selection pane="bottomRight" activeCell="B106" sqref="B106"/>
    </sheetView>
  </sheetViews>
  <sheetFormatPr defaultRowHeight="12.75" x14ac:dyDescent="0.2"/>
  <cols>
    <col min="1" max="1" width="12.28515625" style="19" customWidth="1"/>
    <col min="2" max="2" width="73" style="19" customWidth="1"/>
    <col min="3" max="3" width="16.140625" style="19" customWidth="1"/>
    <col min="4" max="5" width="24.140625" style="19" customWidth="1"/>
    <col min="6" max="6" width="24.28515625" style="31" customWidth="1"/>
    <col min="7" max="7" width="21.28515625" style="3" bestFit="1" customWidth="1"/>
    <col min="8" max="9" width="21.28515625" style="3" customWidth="1"/>
    <col min="10" max="10" width="14.85546875" style="3" bestFit="1" customWidth="1"/>
    <col min="11" max="12" width="21.28515625" style="3" customWidth="1"/>
    <col min="13" max="13" width="13.7109375" style="3" bestFit="1" customWidth="1"/>
    <col min="14" max="14" width="16.7109375" style="3" customWidth="1"/>
    <col min="15" max="15" width="24.140625" style="31" customWidth="1"/>
    <col min="16" max="16" width="21.28515625" style="1" customWidth="1"/>
    <col min="17" max="17" width="13.7109375" style="3" bestFit="1" customWidth="1"/>
    <col min="18" max="18" width="24.140625" style="3" bestFit="1" customWidth="1"/>
    <col min="19" max="19" width="22.5703125" style="3" bestFit="1" customWidth="1"/>
    <col min="20" max="20" width="15.85546875" style="3" bestFit="1" customWidth="1"/>
    <col min="21" max="21" width="9.140625" style="3"/>
    <col min="22" max="22" width="24.140625" style="3" bestFit="1" customWidth="1"/>
    <col min="23" max="23" width="9.140625" style="3"/>
    <col min="24" max="24" width="15.140625" style="3" bestFit="1" customWidth="1"/>
    <col min="25" max="16384" width="9.140625" style="3"/>
  </cols>
  <sheetData>
    <row r="1" spans="1:32" ht="30" customHeight="1" x14ac:dyDescent="0.2">
      <c r="A1" s="246" t="s">
        <v>171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</row>
    <row r="2" spans="1:32" ht="18.75" x14ac:dyDescent="0.3">
      <c r="A2" s="22" t="s">
        <v>48</v>
      </c>
      <c r="B2" s="17"/>
      <c r="C2" s="17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5" t="s">
        <v>13</v>
      </c>
      <c r="Q2" s="5"/>
    </row>
    <row r="3" spans="1:32" s="68" customFormat="1" ht="15" customHeight="1" x14ac:dyDescent="0.25">
      <c r="A3" s="256" t="s">
        <v>0</v>
      </c>
      <c r="B3" s="244" t="s">
        <v>1</v>
      </c>
      <c r="C3" s="244" t="s">
        <v>2</v>
      </c>
      <c r="D3" s="240" t="s">
        <v>173</v>
      </c>
      <c r="E3" s="240" t="s">
        <v>174</v>
      </c>
      <c r="F3" s="243" t="s">
        <v>172</v>
      </c>
      <c r="G3" s="240" t="s">
        <v>63</v>
      </c>
      <c r="H3" s="240" t="s">
        <v>178</v>
      </c>
      <c r="I3" s="240" t="s">
        <v>182</v>
      </c>
      <c r="J3" s="240" t="s">
        <v>3</v>
      </c>
      <c r="K3" s="240" t="s">
        <v>179</v>
      </c>
      <c r="L3" s="240" t="s">
        <v>183</v>
      </c>
      <c r="M3" s="240" t="s">
        <v>3</v>
      </c>
      <c r="N3" s="245" t="s">
        <v>184</v>
      </c>
      <c r="O3" s="243" t="s">
        <v>180</v>
      </c>
      <c r="P3" s="240" t="s">
        <v>181</v>
      </c>
      <c r="Q3" s="240" t="s">
        <v>3</v>
      </c>
    </row>
    <row r="4" spans="1:32" s="68" customFormat="1" ht="94.5" customHeight="1" x14ac:dyDescent="0.25">
      <c r="A4" s="256"/>
      <c r="B4" s="244"/>
      <c r="C4" s="244"/>
      <c r="D4" s="240"/>
      <c r="E4" s="240"/>
      <c r="F4" s="243"/>
      <c r="G4" s="240"/>
      <c r="H4" s="240"/>
      <c r="I4" s="240"/>
      <c r="J4" s="240"/>
      <c r="K4" s="240"/>
      <c r="L4" s="240"/>
      <c r="M4" s="240"/>
      <c r="N4" s="245"/>
      <c r="O4" s="243"/>
      <c r="P4" s="240"/>
      <c r="Q4" s="240"/>
    </row>
    <row r="5" spans="1:32" s="73" customFormat="1" ht="20.25" x14ac:dyDescent="0.2">
      <c r="A5" s="69" t="s">
        <v>4</v>
      </c>
      <c r="B5" s="70" t="s">
        <v>5</v>
      </c>
      <c r="C5" s="70">
        <f>B5+1</f>
        <v>3</v>
      </c>
      <c r="D5" s="70">
        <f>C5+1</f>
        <v>4</v>
      </c>
      <c r="E5" s="70">
        <f t="shared" ref="E5" si="0">D5+1</f>
        <v>5</v>
      </c>
      <c r="F5" s="71">
        <f t="shared" ref="F5" si="1">E5+1</f>
        <v>6</v>
      </c>
      <c r="G5" s="70">
        <f t="shared" ref="G5" si="2">F5+1</f>
        <v>7</v>
      </c>
      <c r="H5" s="70">
        <f t="shared" ref="H5" si="3">G5+1</f>
        <v>8</v>
      </c>
      <c r="I5" s="70">
        <f t="shared" ref="I5" si="4">H5+1</f>
        <v>9</v>
      </c>
      <c r="J5" s="70">
        <f t="shared" ref="J5" si="5">I5+1</f>
        <v>10</v>
      </c>
      <c r="K5" s="70">
        <f t="shared" ref="K5" si="6">J5+1</f>
        <v>11</v>
      </c>
      <c r="L5" s="70">
        <f t="shared" ref="L5" si="7">K5+1</f>
        <v>12</v>
      </c>
      <c r="M5" s="70">
        <f t="shared" ref="M5" si="8">L5+1</f>
        <v>13</v>
      </c>
      <c r="N5" s="70">
        <f t="shared" ref="N5" si="9">M5+1</f>
        <v>14</v>
      </c>
      <c r="O5" s="71">
        <f t="shared" ref="O5" si="10">N5+1</f>
        <v>15</v>
      </c>
      <c r="P5" s="70">
        <f t="shared" ref="P5" si="11">O5+1</f>
        <v>16</v>
      </c>
      <c r="Q5" s="70">
        <f t="shared" ref="Q5" si="12">P5+1</f>
        <v>17</v>
      </c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2" s="74" customFormat="1" ht="26.25" customHeight="1" x14ac:dyDescent="0.2">
      <c r="A6" s="247" t="s">
        <v>6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9"/>
    </row>
    <row r="7" spans="1:32" s="79" customFormat="1" ht="32.25" customHeight="1" x14ac:dyDescent="0.25">
      <c r="A7" s="229">
        <v>1</v>
      </c>
      <c r="B7" s="84" t="s">
        <v>66</v>
      </c>
      <c r="C7" s="76" t="s">
        <v>14</v>
      </c>
      <c r="D7" s="116">
        <v>3112871.4720000001</v>
      </c>
      <c r="E7" s="116">
        <v>3112871.4720000001</v>
      </c>
      <c r="F7" s="117">
        <f>SUM(G7:G7)</f>
        <v>211850.85699999999</v>
      </c>
      <c r="G7" s="116">
        <v>211850.85699999999</v>
      </c>
      <c r="H7" s="116">
        <v>184545</v>
      </c>
      <c r="I7" s="116">
        <f>F7-H7</f>
        <v>27305.856999999989</v>
      </c>
      <c r="J7" s="193">
        <f>F7/H7*100</f>
        <v>114.79631363624048</v>
      </c>
      <c r="K7" s="116">
        <f>E7/12*1</f>
        <v>259405.95600000001</v>
      </c>
      <c r="L7" s="116">
        <f>F7-K7</f>
        <v>-47555.099000000017</v>
      </c>
      <c r="M7" s="193">
        <f>F7/K7*100</f>
        <v>81.667691932254627</v>
      </c>
      <c r="N7" s="193">
        <f>F7/E7*100</f>
        <v>6.8056409943545519</v>
      </c>
      <c r="O7" s="117">
        <v>228775.38699999999</v>
      </c>
      <c r="P7" s="118">
        <f>F7-O7</f>
        <v>-16924.53</v>
      </c>
      <c r="Q7" s="119">
        <f>F7/O7*100</f>
        <v>92.602119387956719</v>
      </c>
      <c r="R7" s="77"/>
      <c r="S7" s="77"/>
      <c r="T7" s="77">
        <f>R7-S7</f>
        <v>0</v>
      </c>
      <c r="U7" s="78" t="e">
        <f>R7/S7*100</f>
        <v>#DIV/0!</v>
      </c>
    </row>
    <row r="8" spans="1:32" s="83" customFormat="1" ht="98.25" x14ac:dyDescent="0.25">
      <c r="A8" s="230"/>
      <c r="B8" s="175" t="s">
        <v>186</v>
      </c>
      <c r="C8" s="187" t="s">
        <v>185</v>
      </c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121">
        <v>67441.37</v>
      </c>
      <c r="P8" s="122">
        <f>D8-O8</f>
        <v>-67441.37</v>
      </c>
      <c r="Q8" s="123">
        <f>D8/O8*100</f>
        <v>0</v>
      </c>
      <c r="R8" s="81"/>
      <c r="S8" s="81"/>
      <c r="T8" s="81"/>
      <c r="U8" s="82"/>
    </row>
    <row r="9" spans="1:32" s="209" customFormat="1" ht="48" customHeight="1" x14ac:dyDescent="0.25">
      <c r="A9" s="231"/>
      <c r="B9" s="232" t="s">
        <v>188</v>
      </c>
      <c r="C9" s="233"/>
      <c r="D9" s="103">
        <f>D7</f>
        <v>3112871.4720000001</v>
      </c>
      <c r="E9" s="103">
        <f>E7</f>
        <v>3112871.4720000001</v>
      </c>
      <c r="F9" s="203">
        <f t="shared" ref="F9" si="13">SUM(G9:G9)</f>
        <v>211850.85699999999</v>
      </c>
      <c r="G9" s="103">
        <f>G7</f>
        <v>211850.85699999999</v>
      </c>
      <c r="H9" s="103">
        <f>H7</f>
        <v>184545</v>
      </c>
      <c r="I9" s="103">
        <f>F9-H9</f>
        <v>27305.856999999989</v>
      </c>
      <c r="J9" s="204">
        <f>F9/H9*100</f>
        <v>114.79631363624048</v>
      </c>
      <c r="K9" s="103">
        <f>E9/12*1</f>
        <v>259405.95600000001</v>
      </c>
      <c r="L9" s="103">
        <f>F9-K9</f>
        <v>-47555.099000000017</v>
      </c>
      <c r="M9" s="204">
        <f>F9/K9*100</f>
        <v>81.667691932254627</v>
      </c>
      <c r="N9" s="204">
        <f>F9/E9*100</f>
        <v>6.8056409943545519</v>
      </c>
      <c r="O9" s="203">
        <f>O7-O8</f>
        <v>161334.01699999999</v>
      </c>
      <c r="P9" s="205">
        <f t="shared" ref="P9" si="14">F9-O9</f>
        <v>50516.84</v>
      </c>
      <c r="Q9" s="206">
        <f t="shared" ref="Q9" si="15">F9/O9*100</f>
        <v>131.31195822143326</v>
      </c>
      <c r="R9" s="207"/>
      <c r="S9" s="207"/>
      <c r="T9" s="207"/>
      <c r="U9" s="208"/>
    </row>
    <row r="10" spans="1:32" s="79" customFormat="1" ht="39" x14ac:dyDescent="0.25">
      <c r="A10" s="75">
        <f>A7+1</f>
        <v>2</v>
      </c>
      <c r="B10" s="84" t="s">
        <v>36</v>
      </c>
      <c r="C10" s="76" t="s">
        <v>16</v>
      </c>
      <c r="D10" s="116">
        <v>2500</v>
      </c>
      <c r="E10" s="116">
        <v>2500</v>
      </c>
      <c r="F10" s="117">
        <f t="shared" ref="F10:F41" si="16">SUM(G10:G10)</f>
        <v>238.74100000000001</v>
      </c>
      <c r="G10" s="116">
        <v>238.74100000000001</v>
      </c>
      <c r="H10" s="116">
        <v>238</v>
      </c>
      <c r="I10" s="116">
        <f t="shared" ref="I10:I70" si="17">F10-H10</f>
        <v>0.74100000000001387</v>
      </c>
      <c r="J10" s="193">
        <f t="shared" ref="J10:J70" si="18">F10/H10*100</f>
        <v>100.31134453781515</v>
      </c>
      <c r="K10" s="116">
        <f t="shared" ref="K10:K51" si="19">E10/12*1</f>
        <v>208.33333333333334</v>
      </c>
      <c r="L10" s="116">
        <f t="shared" ref="L10:L70" si="20">F10-K10</f>
        <v>30.407666666666671</v>
      </c>
      <c r="M10" s="193">
        <f t="shared" ref="M10:M70" si="21">F10/K10*100</f>
        <v>114.59568</v>
      </c>
      <c r="N10" s="193">
        <f t="shared" ref="N10:N70" si="22">F10/E10*100</f>
        <v>9.5496400000000001</v>
      </c>
      <c r="O10" s="117">
        <v>0</v>
      </c>
      <c r="P10" s="118">
        <f t="shared" ref="P10:P41" si="23">F10-O10</f>
        <v>238.74100000000001</v>
      </c>
      <c r="Q10" s="119"/>
      <c r="R10" s="77"/>
      <c r="S10" s="77"/>
      <c r="T10" s="77">
        <f>O7/0.5</f>
        <v>457550.77399999998</v>
      </c>
      <c r="U10" s="78">
        <f>S10/T10*100</f>
        <v>0</v>
      </c>
    </row>
    <row r="11" spans="1:32" s="79" customFormat="1" ht="39" x14ac:dyDescent="0.25">
      <c r="A11" s="75">
        <v>3</v>
      </c>
      <c r="B11" s="84" t="s">
        <v>102</v>
      </c>
      <c r="C11" s="76" t="s">
        <v>103</v>
      </c>
      <c r="D11" s="116">
        <f>SUM(D12:D15)</f>
        <v>455.8</v>
      </c>
      <c r="E11" s="116">
        <f>SUM(E12:E15)</f>
        <v>455.8</v>
      </c>
      <c r="F11" s="117">
        <f t="shared" si="16"/>
        <v>0.97799999999999998</v>
      </c>
      <c r="G11" s="116">
        <f t="shared" ref="G11:H11" si="24">SUM(G12:G15)</f>
        <v>0.97799999999999998</v>
      </c>
      <c r="H11" s="116">
        <f t="shared" si="24"/>
        <v>0.97699999999999998</v>
      </c>
      <c r="I11" s="116">
        <f t="shared" si="17"/>
        <v>1.0000000000000009E-3</v>
      </c>
      <c r="J11" s="193">
        <f t="shared" si="18"/>
        <v>100.10235414534287</v>
      </c>
      <c r="K11" s="116">
        <f t="shared" si="19"/>
        <v>37.983333333333334</v>
      </c>
      <c r="L11" s="116">
        <f t="shared" si="20"/>
        <v>-37.005333333333333</v>
      </c>
      <c r="M11" s="193">
        <f t="shared" si="21"/>
        <v>2.5748135146994295</v>
      </c>
      <c r="N11" s="193">
        <f t="shared" si="22"/>
        <v>0.21456779289161912</v>
      </c>
      <c r="O11" s="117">
        <f>SUM(O12:O15)</f>
        <v>1.413</v>
      </c>
      <c r="P11" s="118">
        <f t="shared" si="23"/>
        <v>-0.43500000000000005</v>
      </c>
      <c r="Q11" s="119">
        <f>F11/O11*100</f>
        <v>69.214437367303603</v>
      </c>
      <c r="R11" s="77"/>
      <c r="S11" s="77"/>
      <c r="T11" s="77"/>
      <c r="U11" s="78"/>
    </row>
    <row r="12" spans="1:32" s="83" customFormat="1" ht="58.5" x14ac:dyDescent="0.25">
      <c r="A12" s="80" t="s">
        <v>104</v>
      </c>
      <c r="B12" s="174" t="s">
        <v>126</v>
      </c>
      <c r="C12" s="185" t="s">
        <v>127</v>
      </c>
      <c r="D12" s="120">
        <v>32</v>
      </c>
      <c r="E12" s="120">
        <v>32</v>
      </c>
      <c r="F12" s="121">
        <f t="shared" si="16"/>
        <v>0</v>
      </c>
      <c r="G12" s="120">
        <v>0</v>
      </c>
      <c r="H12" s="120">
        <v>0</v>
      </c>
      <c r="I12" s="120">
        <f t="shared" si="17"/>
        <v>0</v>
      </c>
      <c r="J12" s="194"/>
      <c r="K12" s="120">
        <f t="shared" si="19"/>
        <v>2.6666666666666665</v>
      </c>
      <c r="L12" s="120">
        <f t="shared" si="20"/>
        <v>-2.6666666666666665</v>
      </c>
      <c r="M12" s="194">
        <f t="shared" si="21"/>
        <v>0</v>
      </c>
      <c r="N12" s="194">
        <f t="shared" si="22"/>
        <v>0</v>
      </c>
      <c r="O12" s="121">
        <v>0.79500000000000004</v>
      </c>
      <c r="P12" s="122">
        <f t="shared" si="23"/>
        <v>-0.79500000000000004</v>
      </c>
      <c r="Q12" s="123">
        <f>F12/O12*100</f>
        <v>0</v>
      </c>
      <c r="R12" s="81"/>
      <c r="S12" s="81"/>
      <c r="T12" s="81"/>
      <c r="U12" s="82"/>
    </row>
    <row r="13" spans="1:32" s="83" customFormat="1" ht="78" x14ac:dyDescent="0.25">
      <c r="A13" s="80" t="s">
        <v>105</v>
      </c>
      <c r="B13" s="174" t="s">
        <v>97</v>
      </c>
      <c r="C13" s="67" t="s">
        <v>98</v>
      </c>
      <c r="D13" s="120">
        <v>305</v>
      </c>
      <c r="E13" s="120">
        <v>305</v>
      </c>
      <c r="F13" s="121">
        <f t="shared" si="16"/>
        <v>0</v>
      </c>
      <c r="G13" s="120">
        <v>0</v>
      </c>
      <c r="H13" s="120">
        <v>0</v>
      </c>
      <c r="I13" s="120">
        <f t="shared" si="17"/>
        <v>0</v>
      </c>
      <c r="J13" s="194"/>
      <c r="K13" s="120">
        <f t="shared" si="19"/>
        <v>25.416666666666668</v>
      </c>
      <c r="L13" s="120">
        <f t="shared" si="20"/>
        <v>-25.416666666666668</v>
      </c>
      <c r="M13" s="194">
        <f t="shared" si="21"/>
        <v>0</v>
      </c>
      <c r="N13" s="194">
        <f t="shared" si="22"/>
        <v>0</v>
      </c>
      <c r="O13" s="121">
        <v>0</v>
      </c>
      <c r="P13" s="122">
        <f t="shared" si="23"/>
        <v>0</v>
      </c>
      <c r="Q13" s="123"/>
    </row>
    <row r="14" spans="1:32" s="83" customFormat="1" ht="58.5" x14ac:dyDescent="0.25">
      <c r="A14" s="80" t="s">
        <v>106</v>
      </c>
      <c r="B14" s="174" t="s">
        <v>124</v>
      </c>
      <c r="C14" s="67" t="s">
        <v>101</v>
      </c>
      <c r="D14" s="120">
        <v>117</v>
      </c>
      <c r="E14" s="120">
        <v>117</v>
      </c>
      <c r="F14" s="121">
        <f t="shared" si="16"/>
        <v>0.97799999999999998</v>
      </c>
      <c r="G14" s="120">
        <v>0.97799999999999998</v>
      </c>
      <c r="H14" s="120">
        <v>0.97699999999999998</v>
      </c>
      <c r="I14" s="120">
        <f t="shared" si="17"/>
        <v>1.0000000000000009E-3</v>
      </c>
      <c r="J14" s="194">
        <f t="shared" si="18"/>
        <v>100.10235414534287</v>
      </c>
      <c r="K14" s="120">
        <f t="shared" si="19"/>
        <v>9.75</v>
      </c>
      <c r="L14" s="120">
        <f t="shared" si="20"/>
        <v>-8.7720000000000002</v>
      </c>
      <c r="M14" s="194">
        <f t="shared" si="21"/>
        <v>10.030769230769231</v>
      </c>
      <c r="N14" s="194">
        <f t="shared" si="22"/>
        <v>0.83589743589743593</v>
      </c>
      <c r="O14" s="121">
        <v>0.45800000000000002</v>
      </c>
      <c r="P14" s="122">
        <f t="shared" si="23"/>
        <v>0.52</v>
      </c>
      <c r="Q14" s="123">
        <f t="shared" ref="Q14:Q22" si="25">F14/O14*100</f>
        <v>213.53711790393012</v>
      </c>
    </row>
    <row r="15" spans="1:32" s="83" customFormat="1" ht="39" x14ac:dyDescent="0.25">
      <c r="A15" s="80" t="s">
        <v>128</v>
      </c>
      <c r="B15" s="174" t="s">
        <v>123</v>
      </c>
      <c r="C15" s="67" t="s">
        <v>122</v>
      </c>
      <c r="D15" s="120">
        <v>1.8</v>
      </c>
      <c r="E15" s="120">
        <v>1.8</v>
      </c>
      <c r="F15" s="121">
        <f t="shared" si="16"/>
        <v>0</v>
      </c>
      <c r="G15" s="120">
        <v>0</v>
      </c>
      <c r="H15" s="120">
        <v>0</v>
      </c>
      <c r="I15" s="120">
        <f t="shared" si="17"/>
        <v>0</v>
      </c>
      <c r="J15" s="194"/>
      <c r="K15" s="120">
        <f t="shared" si="19"/>
        <v>0.15</v>
      </c>
      <c r="L15" s="120">
        <f t="shared" si="20"/>
        <v>-0.15</v>
      </c>
      <c r="M15" s="194">
        <f t="shared" si="21"/>
        <v>0</v>
      </c>
      <c r="N15" s="194">
        <f t="shared" si="22"/>
        <v>0</v>
      </c>
      <c r="O15" s="121">
        <v>0.16</v>
      </c>
      <c r="P15" s="122">
        <f t="shared" si="23"/>
        <v>-0.16</v>
      </c>
      <c r="Q15" s="123">
        <f t="shared" si="25"/>
        <v>0</v>
      </c>
    </row>
    <row r="16" spans="1:32" s="79" customFormat="1" ht="23.25" x14ac:dyDescent="0.25">
      <c r="A16" s="75">
        <v>4</v>
      </c>
      <c r="B16" s="104" t="s">
        <v>87</v>
      </c>
      <c r="C16" s="99" t="s">
        <v>86</v>
      </c>
      <c r="D16" s="116">
        <f>D17+D20</f>
        <v>459000</v>
      </c>
      <c r="E16" s="116">
        <f>E17+E20</f>
        <v>459000</v>
      </c>
      <c r="F16" s="117">
        <f t="shared" si="16"/>
        <v>40518.83</v>
      </c>
      <c r="G16" s="116">
        <f t="shared" ref="G16:H16" si="26">G17+G20</f>
        <v>40518.83</v>
      </c>
      <c r="H16" s="116">
        <f t="shared" si="26"/>
        <v>39280</v>
      </c>
      <c r="I16" s="116">
        <f t="shared" si="17"/>
        <v>1238.8300000000017</v>
      </c>
      <c r="J16" s="193">
        <f t="shared" si="18"/>
        <v>103.15384419551935</v>
      </c>
      <c r="K16" s="116">
        <f t="shared" si="19"/>
        <v>38250</v>
      </c>
      <c r="L16" s="116">
        <f t="shared" si="20"/>
        <v>2268.8300000000017</v>
      </c>
      <c r="M16" s="193">
        <f t="shared" si="21"/>
        <v>105.9315816993464</v>
      </c>
      <c r="N16" s="193">
        <f t="shared" si="22"/>
        <v>8.8276318082788663</v>
      </c>
      <c r="O16" s="117">
        <f>O17+O20</f>
        <v>34903.103000000003</v>
      </c>
      <c r="P16" s="118">
        <f t="shared" si="23"/>
        <v>5615.726999999999</v>
      </c>
      <c r="Q16" s="119">
        <f t="shared" si="25"/>
        <v>116.08947777508492</v>
      </c>
    </row>
    <row r="17" spans="1:20" s="83" customFormat="1" ht="58.5" x14ac:dyDescent="0.25">
      <c r="A17" s="80" t="s">
        <v>118</v>
      </c>
      <c r="B17" s="174" t="s">
        <v>162</v>
      </c>
      <c r="C17" s="257" t="s">
        <v>170</v>
      </c>
      <c r="D17" s="120">
        <f>SUM(D18:D19)</f>
        <v>153000</v>
      </c>
      <c r="E17" s="120">
        <f>SUM(E18:E19)</f>
        <v>153000</v>
      </c>
      <c r="F17" s="121">
        <f t="shared" si="16"/>
        <v>13410.271999999999</v>
      </c>
      <c r="G17" s="120">
        <f t="shared" ref="G17:H17" si="27">SUM(G18:G19)</f>
        <v>13410.271999999999</v>
      </c>
      <c r="H17" s="120">
        <f t="shared" si="27"/>
        <v>12880</v>
      </c>
      <c r="I17" s="120">
        <f t="shared" si="17"/>
        <v>530.27199999999903</v>
      </c>
      <c r="J17" s="194">
        <f t="shared" si="18"/>
        <v>104.11701863354037</v>
      </c>
      <c r="K17" s="120">
        <f t="shared" si="19"/>
        <v>12750</v>
      </c>
      <c r="L17" s="120">
        <f t="shared" si="20"/>
        <v>660.27199999999903</v>
      </c>
      <c r="M17" s="194">
        <f t="shared" si="21"/>
        <v>105.17860392156861</v>
      </c>
      <c r="N17" s="194">
        <f t="shared" si="22"/>
        <v>8.7648836601307174</v>
      </c>
      <c r="O17" s="121">
        <f>SUM(O18:O19)</f>
        <v>11182.674000000001</v>
      </c>
      <c r="P17" s="122">
        <f t="shared" si="23"/>
        <v>2227.5979999999981</v>
      </c>
      <c r="Q17" s="123">
        <f t="shared" si="25"/>
        <v>119.92008351490885</v>
      </c>
    </row>
    <row r="18" spans="1:20" s="83" customFormat="1" ht="39" x14ac:dyDescent="0.25">
      <c r="A18" s="80" t="s">
        <v>158</v>
      </c>
      <c r="B18" s="174" t="s">
        <v>91</v>
      </c>
      <c r="C18" s="257"/>
      <c r="D18" s="120">
        <v>34000</v>
      </c>
      <c r="E18" s="120">
        <v>34000</v>
      </c>
      <c r="F18" s="121">
        <f t="shared" si="16"/>
        <v>1880.6579999999999</v>
      </c>
      <c r="G18" s="120">
        <v>1880.6579999999999</v>
      </c>
      <c r="H18" s="120">
        <v>1880</v>
      </c>
      <c r="I18" s="120">
        <f t="shared" si="17"/>
        <v>0.65799999999990177</v>
      </c>
      <c r="J18" s="194">
        <f t="shared" si="18"/>
        <v>100.03499999999998</v>
      </c>
      <c r="K18" s="120">
        <f t="shared" si="19"/>
        <v>2833.3333333333335</v>
      </c>
      <c r="L18" s="120">
        <f t="shared" si="20"/>
        <v>-952.67533333333358</v>
      </c>
      <c r="M18" s="194">
        <f t="shared" si="21"/>
        <v>66.376164705882346</v>
      </c>
      <c r="N18" s="194">
        <f t="shared" si="22"/>
        <v>5.5313470588235294</v>
      </c>
      <c r="O18" s="121">
        <v>766.33199999999999</v>
      </c>
      <c r="P18" s="122">
        <f t="shared" si="23"/>
        <v>1114.326</v>
      </c>
      <c r="Q18" s="123">
        <f t="shared" si="25"/>
        <v>245.41034434161696</v>
      </c>
      <c r="R18" s="81">
        <f>O18+O19</f>
        <v>11182.674000000001</v>
      </c>
      <c r="S18" s="81">
        <f>F18+F19</f>
        <v>13410.271999999999</v>
      </c>
    </row>
    <row r="19" spans="1:20" s="83" customFormat="1" ht="39" x14ac:dyDescent="0.25">
      <c r="A19" s="80" t="s">
        <v>159</v>
      </c>
      <c r="B19" s="174" t="s">
        <v>92</v>
      </c>
      <c r="C19" s="257"/>
      <c r="D19" s="120">
        <v>119000</v>
      </c>
      <c r="E19" s="120">
        <v>119000</v>
      </c>
      <c r="F19" s="121">
        <f t="shared" si="16"/>
        <v>11529.614</v>
      </c>
      <c r="G19" s="120">
        <v>11529.614</v>
      </c>
      <c r="H19" s="120">
        <v>11000</v>
      </c>
      <c r="I19" s="120">
        <f t="shared" si="17"/>
        <v>529.61399999999958</v>
      </c>
      <c r="J19" s="194">
        <f t="shared" si="18"/>
        <v>104.81467272727272</v>
      </c>
      <c r="K19" s="120">
        <f t="shared" si="19"/>
        <v>9916.6666666666661</v>
      </c>
      <c r="L19" s="120">
        <f t="shared" si="20"/>
        <v>1612.9473333333335</v>
      </c>
      <c r="M19" s="194">
        <f t="shared" si="21"/>
        <v>116.26501512605043</v>
      </c>
      <c r="N19" s="194">
        <f t="shared" si="22"/>
        <v>9.6887512605042012</v>
      </c>
      <c r="O19" s="121">
        <v>10416.342000000001</v>
      </c>
      <c r="P19" s="122">
        <f t="shared" si="23"/>
        <v>1113.271999999999</v>
      </c>
      <c r="Q19" s="123">
        <f t="shared" si="25"/>
        <v>110.68774431561481</v>
      </c>
    </row>
    <row r="20" spans="1:20" s="83" customFormat="1" ht="58.5" x14ac:dyDescent="0.25">
      <c r="A20" s="80" t="s">
        <v>119</v>
      </c>
      <c r="B20" s="174" t="s">
        <v>93</v>
      </c>
      <c r="C20" s="67" t="s">
        <v>56</v>
      </c>
      <c r="D20" s="120">
        <f t="shared" ref="D20" si="28">SUM(D21:D22)</f>
        <v>306000</v>
      </c>
      <c r="E20" s="120">
        <f t="shared" ref="E20" si="29">SUM(E21:E22)</f>
        <v>306000</v>
      </c>
      <c r="F20" s="121">
        <f t="shared" si="16"/>
        <v>27108.558000000001</v>
      </c>
      <c r="G20" s="120">
        <f t="shared" ref="G20:H20" si="30">SUM(G21:G22)</f>
        <v>27108.558000000001</v>
      </c>
      <c r="H20" s="120">
        <f t="shared" si="30"/>
        <v>26400</v>
      </c>
      <c r="I20" s="120">
        <f t="shared" si="17"/>
        <v>708.5580000000009</v>
      </c>
      <c r="J20" s="194">
        <f t="shared" si="18"/>
        <v>102.68393181818183</v>
      </c>
      <c r="K20" s="120">
        <f t="shared" si="19"/>
        <v>25500</v>
      </c>
      <c r="L20" s="120">
        <f t="shared" si="20"/>
        <v>1608.5580000000009</v>
      </c>
      <c r="M20" s="194">
        <f t="shared" si="21"/>
        <v>106.30807058823531</v>
      </c>
      <c r="N20" s="194">
        <f t="shared" si="22"/>
        <v>8.8590058823529407</v>
      </c>
      <c r="O20" s="121">
        <f>O21+O22</f>
        <v>23720.429</v>
      </c>
      <c r="P20" s="122">
        <f t="shared" si="23"/>
        <v>3388.1290000000008</v>
      </c>
      <c r="Q20" s="123">
        <f t="shared" si="25"/>
        <v>114.28359073944236</v>
      </c>
    </row>
    <row r="21" spans="1:20" s="83" customFormat="1" ht="136.5" x14ac:dyDescent="0.25">
      <c r="A21" s="80" t="s">
        <v>160</v>
      </c>
      <c r="B21" s="174" t="s">
        <v>133</v>
      </c>
      <c r="C21" s="67">
        <v>14040100</v>
      </c>
      <c r="D21" s="120">
        <v>179000</v>
      </c>
      <c r="E21" s="120">
        <v>179000</v>
      </c>
      <c r="F21" s="121">
        <f t="shared" si="16"/>
        <v>15616.876</v>
      </c>
      <c r="G21" s="120">
        <v>15616.876</v>
      </c>
      <c r="H21" s="120">
        <v>15000</v>
      </c>
      <c r="I21" s="120">
        <f t="shared" si="17"/>
        <v>616.8760000000002</v>
      </c>
      <c r="J21" s="194">
        <f t="shared" si="18"/>
        <v>104.11250666666668</v>
      </c>
      <c r="K21" s="120">
        <f t="shared" si="19"/>
        <v>14916.666666666666</v>
      </c>
      <c r="L21" s="120">
        <f t="shared" si="20"/>
        <v>700.20933333333414</v>
      </c>
      <c r="M21" s="194">
        <f t="shared" si="21"/>
        <v>104.69414078212291</v>
      </c>
      <c r="N21" s="194">
        <f t="shared" si="22"/>
        <v>8.7245117318435756</v>
      </c>
      <c r="O21" s="121">
        <v>13155.423000000001</v>
      </c>
      <c r="P21" s="122">
        <f t="shared" si="23"/>
        <v>2461.4529999999995</v>
      </c>
      <c r="Q21" s="123">
        <f t="shared" si="25"/>
        <v>118.71055761566922</v>
      </c>
    </row>
    <row r="22" spans="1:20" s="83" customFormat="1" ht="97.5" x14ac:dyDescent="0.25">
      <c r="A22" s="80" t="s">
        <v>161</v>
      </c>
      <c r="B22" s="174" t="s">
        <v>134</v>
      </c>
      <c r="C22" s="67">
        <v>14040200</v>
      </c>
      <c r="D22" s="120">
        <v>127000</v>
      </c>
      <c r="E22" s="120">
        <v>127000</v>
      </c>
      <c r="F22" s="121">
        <f t="shared" si="16"/>
        <v>11491.682000000001</v>
      </c>
      <c r="G22" s="120">
        <v>11491.682000000001</v>
      </c>
      <c r="H22" s="120">
        <v>11400</v>
      </c>
      <c r="I22" s="120">
        <f t="shared" si="17"/>
        <v>91.682000000000698</v>
      </c>
      <c r="J22" s="194">
        <f t="shared" si="18"/>
        <v>100.80422807017544</v>
      </c>
      <c r="K22" s="120">
        <f t="shared" si="19"/>
        <v>10583.333333333334</v>
      </c>
      <c r="L22" s="120">
        <f t="shared" si="20"/>
        <v>908.34866666666676</v>
      </c>
      <c r="M22" s="194">
        <f t="shared" si="21"/>
        <v>108.58282204724409</v>
      </c>
      <c r="N22" s="194">
        <f t="shared" si="22"/>
        <v>9.048568503937009</v>
      </c>
      <c r="O22" s="121">
        <v>10565.005999999999</v>
      </c>
      <c r="P22" s="122">
        <f t="shared" si="23"/>
        <v>926.6760000000013</v>
      </c>
      <c r="Q22" s="123">
        <f t="shared" si="25"/>
        <v>108.77118290325629</v>
      </c>
    </row>
    <row r="23" spans="1:20" s="105" customFormat="1" ht="23.25" x14ac:dyDescent="0.25">
      <c r="A23" s="75">
        <v>5</v>
      </c>
      <c r="B23" s="84" t="s">
        <v>135</v>
      </c>
      <c r="C23" s="76" t="s">
        <v>136</v>
      </c>
      <c r="D23" s="116">
        <v>0</v>
      </c>
      <c r="E23" s="116">
        <v>0</v>
      </c>
      <c r="F23" s="117">
        <f t="shared" si="16"/>
        <v>0</v>
      </c>
      <c r="G23" s="116">
        <v>0</v>
      </c>
      <c r="H23" s="116"/>
      <c r="I23" s="116">
        <f t="shared" si="17"/>
        <v>0</v>
      </c>
      <c r="J23" s="193"/>
      <c r="K23" s="116">
        <f t="shared" si="19"/>
        <v>0</v>
      </c>
      <c r="L23" s="116">
        <f t="shared" si="20"/>
        <v>0</v>
      </c>
      <c r="M23" s="193" t="e">
        <f t="shared" si="21"/>
        <v>#DIV/0!</v>
      </c>
      <c r="N23" s="193" t="e">
        <f t="shared" si="22"/>
        <v>#DIV/0!</v>
      </c>
      <c r="O23" s="117"/>
      <c r="P23" s="118">
        <f t="shared" si="23"/>
        <v>0</v>
      </c>
      <c r="Q23" s="119"/>
      <c r="R23" s="145"/>
      <c r="S23" s="145"/>
    </row>
    <row r="24" spans="1:20" s="105" customFormat="1" ht="58.5" x14ac:dyDescent="0.25">
      <c r="A24" s="75">
        <v>6</v>
      </c>
      <c r="B24" s="84" t="s">
        <v>132</v>
      </c>
      <c r="C24" s="76" t="s">
        <v>38</v>
      </c>
      <c r="D24" s="116">
        <f>D25+D26+D27+D29+D28</f>
        <v>1522620.5</v>
      </c>
      <c r="E24" s="116">
        <f>E25+E26+E27+E29+E28</f>
        <v>1522620.5</v>
      </c>
      <c r="F24" s="117">
        <f t="shared" si="16"/>
        <v>166303.29399999999</v>
      </c>
      <c r="G24" s="116">
        <f t="shared" ref="G24:H24" si="31">G25+G26+G27+G29+G28</f>
        <v>166303.29399999999</v>
      </c>
      <c r="H24" s="116">
        <f t="shared" si="31"/>
        <v>142090.891</v>
      </c>
      <c r="I24" s="116">
        <f t="shared" si="17"/>
        <v>24212.402999999991</v>
      </c>
      <c r="J24" s="193">
        <f t="shared" si="18"/>
        <v>117.04008105628671</v>
      </c>
      <c r="K24" s="116">
        <f t="shared" si="19"/>
        <v>126885.04166666667</v>
      </c>
      <c r="L24" s="116">
        <f t="shared" si="20"/>
        <v>39418.252333333323</v>
      </c>
      <c r="M24" s="193">
        <f t="shared" si="21"/>
        <v>131.06611450456629</v>
      </c>
      <c r="N24" s="193">
        <f t="shared" si="22"/>
        <v>10.922176208713859</v>
      </c>
      <c r="O24" s="117">
        <f t="shared" ref="O24" si="32">O25+O26+O27+O29+O28</f>
        <v>135837.954</v>
      </c>
      <c r="P24" s="118">
        <f t="shared" si="23"/>
        <v>30465.339999999997</v>
      </c>
      <c r="Q24" s="119">
        <f t="shared" ref="Q24:Q36" si="33">F24/O24*100</f>
        <v>122.42770823830283</v>
      </c>
      <c r="R24" s="145">
        <f>O26+O27+O25</f>
        <v>34982.108</v>
      </c>
      <c r="S24" s="145">
        <f>F25+F26+F27</f>
        <v>45992.17</v>
      </c>
    </row>
    <row r="25" spans="1:20" s="107" customFormat="1" ht="39" x14ac:dyDescent="0.25">
      <c r="A25" s="106" t="s">
        <v>137</v>
      </c>
      <c r="B25" s="175" t="s">
        <v>57</v>
      </c>
      <c r="C25" s="242" t="s">
        <v>44</v>
      </c>
      <c r="D25" s="120">
        <f>1130+29500+34000+106300</f>
        <v>170930</v>
      </c>
      <c r="E25" s="120">
        <f>1130+29500+34000+106300</f>
        <v>170930</v>
      </c>
      <c r="F25" s="121">
        <f t="shared" si="16"/>
        <v>22984.595000000001</v>
      </c>
      <c r="G25" s="120">
        <v>22984.595000000001</v>
      </c>
      <c r="H25" s="120">
        <v>17390.789000000001</v>
      </c>
      <c r="I25" s="120">
        <f t="shared" si="17"/>
        <v>5593.8060000000005</v>
      </c>
      <c r="J25" s="194">
        <f t="shared" si="18"/>
        <v>132.16533763936761</v>
      </c>
      <c r="K25" s="120">
        <f t="shared" si="19"/>
        <v>14244.166666666666</v>
      </c>
      <c r="L25" s="120">
        <f t="shared" si="20"/>
        <v>8740.4283333333351</v>
      </c>
      <c r="M25" s="194">
        <f t="shared" si="21"/>
        <v>161.36145790674547</v>
      </c>
      <c r="N25" s="194">
        <f t="shared" si="22"/>
        <v>13.446788158895457</v>
      </c>
      <c r="O25" s="121">
        <v>17215.075000000001</v>
      </c>
      <c r="P25" s="122">
        <f t="shared" si="23"/>
        <v>5769.52</v>
      </c>
      <c r="Q25" s="123">
        <f t="shared" si="33"/>
        <v>133.51434716375036</v>
      </c>
    </row>
    <row r="26" spans="1:20" s="107" customFormat="1" ht="23.25" x14ac:dyDescent="0.25">
      <c r="A26" s="80" t="s">
        <v>138</v>
      </c>
      <c r="B26" s="175" t="s">
        <v>7</v>
      </c>
      <c r="C26" s="242"/>
      <c r="D26" s="120">
        <f>139000+145000+28500+14000</f>
        <v>326500</v>
      </c>
      <c r="E26" s="120">
        <f>139000+145000+28500+14000</f>
        <v>326500</v>
      </c>
      <c r="F26" s="121">
        <f t="shared" si="16"/>
        <v>22702.334999999999</v>
      </c>
      <c r="G26" s="120">
        <v>22702.334999999999</v>
      </c>
      <c r="H26" s="120">
        <v>20195</v>
      </c>
      <c r="I26" s="120">
        <f t="shared" si="17"/>
        <v>2507.3349999999991</v>
      </c>
      <c r="J26" s="194">
        <f t="shared" si="18"/>
        <v>112.41562267888089</v>
      </c>
      <c r="K26" s="120">
        <f t="shared" si="19"/>
        <v>27208.333333333332</v>
      </c>
      <c r="L26" s="120">
        <f t="shared" si="20"/>
        <v>-4505.998333333333</v>
      </c>
      <c r="M26" s="194">
        <f t="shared" si="21"/>
        <v>83.438903522205209</v>
      </c>
      <c r="N26" s="194">
        <f t="shared" si="22"/>
        <v>6.9532419601837674</v>
      </c>
      <c r="O26" s="121">
        <v>17562.599999999999</v>
      </c>
      <c r="P26" s="122">
        <f t="shared" si="23"/>
        <v>5139.7350000000006</v>
      </c>
      <c r="Q26" s="123">
        <f t="shared" si="33"/>
        <v>129.26522838304123</v>
      </c>
    </row>
    <row r="27" spans="1:20" s="107" customFormat="1" ht="23.25" x14ac:dyDescent="0.25">
      <c r="A27" s="80" t="s">
        <v>139</v>
      </c>
      <c r="B27" s="175" t="s">
        <v>58</v>
      </c>
      <c r="C27" s="242"/>
      <c r="D27" s="120">
        <f>1000+980.5</f>
        <v>1980.5</v>
      </c>
      <c r="E27" s="120">
        <f>1000+980.5</f>
        <v>1980.5</v>
      </c>
      <c r="F27" s="121">
        <f t="shared" si="16"/>
        <v>305.24</v>
      </c>
      <c r="G27" s="120">
        <v>305.24</v>
      </c>
      <c r="H27" s="120">
        <v>264</v>
      </c>
      <c r="I27" s="120">
        <f t="shared" si="17"/>
        <v>41.240000000000009</v>
      </c>
      <c r="J27" s="194">
        <f t="shared" si="18"/>
        <v>115.62121212121212</v>
      </c>
      <c r="K27" s="120">
        <f t="shared" si="19"/>
        <v>165.04166666666666</v>
      </c>
      <c r="L27" s="120">
        <f t="shared" si="20"/>
        <v>140.19833333333335</v>
      </c>
      <c r="M27" s="194">
        <f t="shared" si="21"/>
        <v>184.94723554657918</v>
      </c>
      <c r="N27" s="194">
        <f t="shared" si="22"/>
        <v>15.412269628881594</v>
      </c>
      <c r="O27" s="121">
        <v>204.43299999999999</v>
      </c>
      <c r="P27" s="122">
        <f t="shared" si="23"/>
        <v>100.80700000000002</v>
      </c>
      <c r="Q27" s="123">
        <f t="shared" si="33"/>
        <v>149.31053205695756</v>
      </c>
      <c r="R27" s="123">
        <f>100-Q27</f>
        <v>-49.310532056957555</v>
      </c>
      <c r="S27" s="108"/>
      <c r="T27" s="109" t="e">
        <f>F25/#REF!*100</f>
        <v>#REF!</v>
      </c>
    </row>
    <row r="28" spans="1:20" s="111" customFormat="1" ht="23.25" x14ac:dyDescent="0.25">
      <c r="A28" s="80" t="s">
        <v>140</v>
      </c>
      <c r="B28" s="175" t="s">
        <v>40</v>
      </c>
      <c r="C28" s="110" t="s">
        <v>39</v>
      </c>
      <c r="D28" s="120">
        <v>2710</v>
      </c>
      <c r="E28" s="120">
        <v>2710</v>
      </c>
      <c r="F28" s="121">
        <f t="shared" si="16"/>
        <v>229.9</v>
      </c>
      <c r="G28" s="120">
        <v>229.9</v>
      </c>
      <c r="H28" s="120">
        <v>132.80000000000001</v>
      </c>
      <c r="I28" s="120">
        <f t="shared" si="17"/>
        <v>97.1</v>
      </c>
      <c r="J28" s="194">
        <f t="shared" si="18"/>
        <v>173.11746987951807</v>
      </c>
      <c r="K28" s="120">
        <f t="shared" si="19"/>
        <v>225.83333333333334</v>
      </c>
      <c r="L28" s="120">
        <f t="shared" si="20"/>
        <v>4.0666666666666629</v>
      </c>
      <c r="M28" s="194">
        <f t="shared" si="21"/>
        <v>101.80073800738008</v>
      </c>
      <c r="N28" s="194">
        <f t="shared" si="22"/>
        <v>8.4833948339483385</v>
      </c>
      <c r="O28" s="121">
        <v>138.30099999999999</v>
      </c>
      <c r="P28" s="120">
        <f t="shared" si="23"/>
        <v>91.599000000000018</v>
      </c>
      <c r="Q28" s="123">
        <f t="shared" si="33"/>
        <v>166.23162522324498</v>
      </c>
    </row>
    <row r="29" spans="1:20" s="107" customFormat="1" ht="23.25" x14ac:dyDescent="0.25">
      <c r="A29" s="80" t="s">
        <v>141</v>
      </c>
      <c r="B29" s="175" t="s">
        <v>33</v>
      </c>
      <c r="C29" s="142" t="s">
        <v>34</v>
      </c>
      <c r="D29" s="120">
        <v>1020500</v>
      </c>
      <c r="E29" s="120">
        <v>1020500</v>
      </c>
      <c r="F29" s="121">
        <f t="shared" si="16"/>
        <v>120081.224</v>
      </c>
      <c r="G29" s="120">
        <v>120081.224</v>
      </c>
      <c r="H29" s="120">
        <v>104108.302</v>
      </c>
      <c r="I29" s="120">
        <f t="shared" si="17"/>
        <v>15972.922000000006</v>
      </c>
      <c r="J29" s="194">
        <f t="shared" si="18"/>
        <v>115.34260159194605</v>
      </c>
      <c r="K29" s="120">
        <f t="shared" si="19"/>
        <v>85041.666666666672</v>
      </c>
      <c r="L29" s="120">
        <f t="shared" si="20"/>
        <v>35039.55733333333</v>
      </c>
      <c r="M29" s="194">
        <f t="shared" si="21"/>
        <v>141.20281117099461</v>
      </c>
      <c r="N29" s="194">
        <f t="shared" si="22"/>
        <v>11.766900930916217</v>
      </c>
      <c r="O29" s="121">
        <v>100717.545</v>
      </c>
      <c r="P29" s="122">
        <f t="shared" si="23"/>
        <v>19363.679000000004</v>
      </c>
      <c r="Q29" s="123">
        <f t="shared" si="33"/>
        <v>119.22572576605199</v>
      </c>
      <c r="S29" s="108"/>
      <c r="T29" s="109" t="e">
        <f>F29/#REF!*100</f>
        <v>#REF!</v>
      </c>
    </row>
    <row r="30" spans="1:20" s="79" customFormat="1" ht="58.5" x14ac:dyDescent="0.25">
      <c r="A30" s="75">
        <v>7</v>
      </c>
      <c r="B30" s="84" t="s">
        <v>46</v>
      </c>
      <c r="C30" s="76" t="s">
        <v>17</v>
      </c>
      <c r="D30" s="116">
        <v>1900</v>
      </c>
      <c r="E30" s="116">
        <v>1900</v>
      </c>
      <c r="F30" s="117">
        <f t="shared" si="16"/>
        <v>73</v>
      </c>
      <c r="G30" s="116">
        <v>73</v>
      </c>
      <c r="H30" s="116">
        <v>73</v>
      </c>
      <c r="I30" s="116">
        <f t="shared" si="17"/>
        <v>0</v>
      </c>
      <c r="J30" s="193">
        <f t="shared" si="18"/>
        <v>100</v>
      </c>
      <c r="K30" s="116">
        <f t="shared" si="19"/>
        <v>158.33333333333334</v>
      </c>
      <c r="L30" s="116">
        <f t="shared" si="20"/>
        <v>-85.333333333333343</v>
      </c>
      <c r="M30" s="193">
        <f t="shared" si="21"/>
        <v>46.105263157894733</v>
      </c>
      <c r="N30" s="193">
        <f t="shared" si="22"/>
        <v>3.8421052631578947</v>
      </c>
      <c r="O30" s="117">
        <v>1.22</v>
      </c>
      <c r="P30" s="118">
        <f t="shared" si="23"/>
        <v>71.78</v>
      </c>
      <c r="Q30" s="119">
        <f t="shared" si="33"/>
        <v>5983.6065573770493</v>
      </c>
      <c r="R30" s="78">
        <f>100-Q30</f>
        <v>-5883.6065573770493</v>
      </c>
    </row>
    <row r="31" spans="1:20" s="79" customFormat="1" ht="39" x14ac:dyDescent="0.25">
      <c r="A31" s="75">
        <f t="shared" ref="A31:A39" si="34">A30+1</f>
        <v>8</v>
      </c>
      <c r="B31" s="84" t="s">
        <v>70</v>
      </c>
      <c r="C31" s="76" t="s">
        <v>69</v>
      </c>
      <c r="D31" s="116">
        <v>20000</v>
      </c>
      <c r="E31" s="116">
        <v>20000</v>
      </c>
      <c r="F31" s="117">
        <f t="shared" si="16"/>
        <v>0</v>
      </c>
      <c r="G31" s="116">
        <v>0</v>
      </c>
      <c r="H31" s="116">
        <v>0</v>
      </c>
      <c r="I31" s="116">
        <f t="shared" si="17"/>
        <v>0</v>
      </c>
      <c r="J31" s="193"/>
      <c r="K31" s="116">
        <f t="shared" si="19"/>
        <v>1666.6666666666667</v>
      </c>
      <c r="L31" s="116">
        <f t="shared" si="20"/>
        <v>-1666.6666666666667</v>
      </c>
      <c r="M31" s="193">
        <f t="shared" si="21"/>
        <v>0</v>
      </c>
      <c r="N31" s="193">
        <f t="shared" si="22"/>
        <v>0</v>
      </c>
      <c r="O31" s="117">
        <v>0</v>
      </c>
      <c r="P31" s="118">
        <f t="shared" si="23"/>
        <v>0</v>
      </c>
      <c r="Q31" s="119" t="e">
        <f t="shared" si="33"/>
        <v>#DIV/0!</v>
      </c>
    </row>
    <row r="32" spans="1:20" s="79" customFormat="1" ht="23.25" x14ac:dyDescent="0.25">
      <c r="A32" s="75">
        <f t="shared" si="34"/>
        <v>9</v>
      </c>
      <c r="B32" s="84" t="s">
        <v>8</v>
      </c>
      <c r="C32" s="76" t="s">
        <v>18</v>
      </c>
      <c r="D32" s="116">
        <v>500</v>
      </c>
      <c r="E32" s="116">
        <v>500</v>
      </c>
      <c r="F32" s="117">
        <f t="shared" si="16"/>
        <v>0</v>
      </c>
      <c r="G32" s="116">
        <v>0</v>
      </c>
      <c r="H32" s="116">
        <v>0</v>
      </c>
      <c r="I32" s="116">
        <f t="shared" si="17"/>
        <v>0</v>
      </c>
      <c r="J32" s="193"/>
      <c r="K32" s="116">
        <f t="shared" si="19"/>
        <v>41.666666666666664</v>
      </c>
      <c r="L32" s="116">
        <f t="shared" si="20"/>
        <v>-41.666666666666664</v>
      </c>
      <c r="M32" s="193">
        <f t="shared" si="21"/>
        <v>0</v>
      </c>
      <c r="N32" s="193">
        <f t="shared" si="22"/>
        <v>0</v>
      </c>
      <c r="O32" s="117">
        <v>87.316999999999993</v>
      </c>
      <c r="P32" s="118">
        <f t="shared" si="23"/>
        <v>-87.316999999999993</v>
      </c>
      <c r="Q32" s="119">
        <f t="shared" si="33"/>
        <v>0</v>
      </c>
    </row>
    <row r="33" spans="1:21" s="79" customFormat="1" ht="97.5" x14ac:dyDescent="0.25">
      <c r="A33" s="75">
        <f t="shared" si="34"/>
        <v>10</v>
      </c>
      <c r="B33" s="135" t="s">
        <v>88</v>
      </c>
      <c r="C33" s="100" t="s">
        <v>89</v>
      </c>
      <c r="D33" s="116">
        <v>5</v>
      </c>
      <c r="E33" s="116">
        <v>5</v>
      </c>
      <c r="F33" s="117">
        <f t="shared" si="16"/>
        <v>0</v>
      </c>
      <c r="G33" s="116">
        <v>0</v>
      </c>
      <c r="H33" s="116">
        <v>0</v>
      </c>
      <c r="I33" s="116">
        <f t="shared" si="17"/>
        <v>0</v>
      </c>
      <c r="J33" s="193"/>
      <c r="K33" s="116">
        <f t="shared" si="19"/>
        <v>0.41666666666666669</v>
      </c>
      <c r="L33" s="116">
        <f t="shared" si="20"/>
        <v>-0.41666666666666669</v>
      </c>
      <c r="M33" s="193">
        <f t="shared" si="21"/>
        <v>0</v>
      </c>
      <c r="N33" s="193">
        <f t="shared" si="22"/>
        <v>0</v>
      </c>
      <c r="O33" s="117">
        <v>7.4999999999999997E-2</v>
      </c>
      <c r="P33" s="118">
        <f t="shared" si="23"/>
        <v>-7.4999999999999997E-2</v>
      </c>
      <c r="Q33" s="119">
        <f t="shared" si="33"/>
        <v>0</v>
      </c>
    </row>
    <row r="34" spans="1:21" s="79" customFormat="1" ht="23.25" x14ac:dyDescent="0.25">
      <c r="A34" s="75">
        <f t="shared" si="34"/>
        <v>11</v>
      </c>
      <c r="B34" s="131" t="s">
        <v>30</v>
      </c>
      <c r="C34" s="76" t="s">
        <v>24</v>
      </c>
      <c r="D34" s="116">
        <v>16000</v>
      </c>
      <c r="E34" s="116">
        <v>16000</v>
      </c>
      <c r="F34" s="117">
        <f t="shared" si="16"/>
        <v>1249.509</v>
      </c>
      <c r="G34" s="116">
        <v>1249.509</v>
      </c>
      <c r="H34" s="116">
        <v>1000</v>
      </c>
      <c r="I34" s="116">
        <f t="shared" si="17"/>
        <v>249.50900000000001</v>
      </c>
      <c r="J34" s="193">
        <f t="shared" si="18"/>
        <v>124.9509</v>
      </c>
      <c r="K34" s="116">
        <f t="shared" si="19"/>
        <v>1333.3333333333333</v>
      </c>
      <c r="L34" s="116">
        <f t="shared" si="20"/>
        <v>-83.824333333333243</v>
      </c>
      <c r="M34" s="193">
        <f t="shared" si="21"/>
        <v>93.713175000000007</v>
      </c>
      <c r="N34" s="193">
        <f t="shared" si="22"/>
        <v>7.8094312500000003</v>
      </c>
      <c r="O34" s="117">
        <v>808.93100000000004</v>
      </c>
      <c r="P34" s="118">
        <f t="shared" si="23"/>
        <v>440.57799999999997</v>
      </c>
      <c r="Q34" s="119">
        <f t="shared" si="33"/>
        <v>154.46422500806619</v>
      </c>
      <c r="R34" s="78">
        <f>100-Q34</f>
        <v>-54.464225008066194</v>
      </c>
    </row>
    <row r="35" spans="1:21" s="79" customFormat="1" ht="58.5" x14ac:dyDescent="0.25">
      <c r="A35" s="75">
        <f t="shared" si="34"/>
        <v>12</v>
      </c>
      <c r="B35" s="131" t="s">
        <v>81</v>
      </c>
      <c r="C35" s="76" t="s">
        <v>80</v>
      </c>
      <c r="D35" s="116">
        <v>760</v>
      </c>
      <c r="E35" s="116">
        <v>760</v>
      </c>
      <c r="F35" s="117">
        <f t="shared" si="16"/>
        <v>6.8</v>
      </c>
      <c r="G35" s="116">
        <v>6.8</v>
      </c>
      <c r="H35" s="116">
        <v>0</v>
      </c>
      <c r="I35" s="116">
        <f t="shared" si="17"/>
        <v>6.8</v>
      </c>
      <c r="J35" s="193"/>
      <c r="K35" s="116">
        <f t="shared" si="19"/>
        <v>63.333333333333336</v>
      </c>
      <c r="L35" s="116">
        <f t="shared" si="20"/>
        <v>-56.533333333333339</v>
      </c>
      <c r="M35" s="193">
        <f t="shared" si="21"/>
        <v>10.736842105263158</v>
      </c>
      <c r="N35" s="193">
        <f t="shared" si="22"/>
        <v>0.89473684210526305</v>
      </c>
      <c r="O35" s="117">
        <v>26</v>
      </c>
      <c r="P35" s="118">
        <f t="shared" si="23"/>
        <v>-19.2</v>
      </c>
      <c r="Q35" s="119">
        <f t="shared" si="33"/>
        <v>26.153846153846157</v>
      </c>
    </row>
    <row r="36" spans="1:21" s="79" customFormat="1" ht="23.25" x14ac:dyDescent="0.25">
      <c r="A36" s="75">
        <f t="shared" si="34"/>
        <v>13</v>
      </c>
      <c r="B36" s="131" t="s">
        <v>107</v>
      </c>
      <c r="C36" s="76" t="s">
        <v>108</v>
      </c>
      <c r="D36" s="116">
        <v>21300</v>
      </c>
      <c r="E36" s="116">
        <v>21300</v>
      </c>
      <c r="F36" s="117">
        <f t="shared" si="16"/>
        <v>1536.7550000000001</v>
      </c>
      <c r="G36" s="116">
        <v>1536.7550000000001</v>
      </c>
      <c r="H36" s="116">
        <v>1400</v>
      </c>
      <c r="I36" s="116">
        <f t="shared" si="17"/>
        <v>136.75500000000011</v>
      </c>
      <c r="J36" s="193">
        <f t="shared" si="18"/>
        <v>109.76821428571428</v>
      </c>
      <c r="K36" s="116">
        <f t="shared" si="19"/>
        <v>1775</v>
      </c>
      <c r="L36" s="116">
        <f t="shared" si="20"/>
        <v>-238.24499999999989</v>
      </c>
      <c r="M36" s="193">
        <f t="shared" si="21"/>
        <v>86.577746478873237</v>
      </c>
      <c r="N36" s="193">
        <f t="shared" si="22"/>
        <v>7.2148122065727707</v>
      </c>
      <c r="O36" s="117">
        <v>1414.5129999999999</v>
      </c>
      <c r="P36" s="118">
        <f t="shared" si="23"/>
        <v>122.24200000000019</v>
      </c>
      <c r="Q36" s="119">
        <f t="shared" si="33"/>
        <v>108.64198490929388</v>
      </c>
    </row>
    <row r="37" spans="1:21" s="79" customFormat="1" ht="58.5" x14ac:dyDescent="0.25">
      <c r="A37" s="75">
        <f>A36+1</f>
        <v>14</v>
      </c>
      <c r="B37" s="131" t="s">
        <v>144</v>
      </c>
      <c r="C37" s="76" t="s">
        <v>143</v>
      </c>
      <c r="D37" s="116">
        <v>3800</v>
      </c>
      <c r="E37" s="116">
        <v>3800</v>
      </c>
      <c r="F37" s="117">
        <f t="shared" si="16"/>
        <v>143.596</v>
      </c>
      <c r="G37" s="116">
        <v>143.596</v>
      </c>
      <c r="H37" s="116">
        <v>137</v>
      </c>
      <c r="I37" s="116">
        <f t="shared" si="17"/>
        <v>6.5960000000000036</v>
      </c>
      <c r="J37" s="193">
        <f t="shared" si="18"/>
        <v>104.81459854014599</v>
      </c>
      <c r="K37" s="116">
        <f t="shared" si="19"/>
        <v>316.66666666666669</v>
      </c>
      <c r="L37" s="116">
        <f t="shared" si="20"/>
        <v>-173.07066666666668</v>
      </c>
      <c r="M37" s="193">
        <f t="shared" si="21"/>
        <v>45.346105263157895</v>
      </c>
      <c r="N37" s="193">
        <f t="shared" si="22"/>
        <v>3.7788421052631582</v>
      </c>
      <c r="O37" s="117">
        <v>0</v>
      </c>
      <c r="P37" s="118">
        <f t="shared" si="23"/>
        <v>143.596</v>
      </c>
      <c r="Q37" s="119"/>
    </row>
    <row r="38" spans="1:21" s="79" customFormat="1" ht="97.5" x14ac:dyDescent="0.25">
      <c r="A38" s="75">
        <f t="shared" si="34"/>
        <v>15</v>
      </c>
      <c r="B38" s="131" t="s">
        <v>129</v>
      </c>
      <c r="C38" s="76" t="s">
        <v>130</v>
      </c>
      <c r="D38" s="116">
        <v>50</v>
      </c>
      <c r="E38" s="116">
        <v>50</v>
      </c>
      <c r="F38" s="117">
        <f t="shared" si="16"/>
        <v>3.55</v>
      </c>
      <c r="G38" s="116">
        <v>3.55</v>
      </c>
      <c r="H38" s="116">
        <v>2</v>
      </c>
      <c r="I38" s="116">
        <f t="shared" si="17"/>
        <v>1.5499999999999998</v>
      </c>
      <c r="J38" s="193">
        <f t="shared" si="18"/>
        <v>177.5</v>
      </c>
      <c r="K38" s="116">
        <f t="shared" si="19"/>
        <v>4.166666666666667</v>
      </c>
      <c r="L38" s="116">
        <f t="shared" si="20"/>
        <v>-0.61666666666666714</v>
      </c>
      <c r="M38" s="193">
        <f t="shared" si="21"/>
        <v>85.199999999999989</v>
      </c>
      <c r="N38" s="193">
        <f t="shared" si="22"/>
        <v>7.1</v>
      </c>
      <c r="O38" s="117">
        <v>1.99</v>
      </c>
      <c r="P38" s="118">
        <f t="shared" si="23"/>
        <v>1.5599999999999998</v>
      </c>
      <c r="Q38" s="119">
        <f t="shared" ref="Q38:Q46" si="35">F38/O38*100</f>
        <v>178.39195979899495</v>
      </c>
    </row>
    <row r="39" spans="1:21" s="79" customFormat="1" ht="23.25" x14ac:dyDescent="0.25">
      <c r="A39" s="75">
        <f t="shared" si="34"/>
        <v>16</v>
      </c>
      <c r="B39" s="131" t="s">
        <v>83</v>
      </c>
      <c r="C39" s="76" t="s">
        <v>82</v>
      </c>
      <c r="D39" s="116">
        <f>SUM(D40:D43)</f>
        <v>40666</v>
      </c>
      <c r="E39" s="116">
        <f>SUM(E40:E43)</f>
        <v>40666</v>
      </c>
      <c r="F39" s="117">
        <f t="shared" si="16"/>
        <v>1954.4259999999999</v>
      </c>
      <c r="G39" s="116">
        <f t="shared" ref="G39:H39" si="36">SUM(G40:G43)</f>
        <v>1954.4259999999999</v>
      </c>
      <c r="H39" s="116">
        <f t="shared" si="36"/>
        <v>1860</v>
      </c>
      <c r="I39" s="116">
        <f t="shared" si="17"/>
        <v>94.425999999999931</v>
      </c>
      <c r="J39" s="193">
        <f t="shared" si="18"/>
        <v>105.07666666666667</v>
      </c>
      <c r="K39" s="116">
        <f t="shared" si="19"/>
        <v>3388.8333333333335</v>
      </c>
      <c r="L39" s="116">
        <f t="shared" si="20"/>
        <v>-1434.4073333333336</v>
      </c>
      <c r="M39" s="193">
        <f t="shared" si="21"/>
        <v>57.672532336595673</v>
      </c>
      <c r="N39" s="193">
        <f t="shared" si="22"/>
        <v>4.8060443613829733</v>
      </c>
      <c r="O39" s="117">
        <f t="shared" ref="O39" si="37">SUM(O40:O43)</f>
        <v>2787.4590000000003</v>
      </c>
      <c r="P39" s="118">
        <f t="shared" si="23"/>
        <v>-833.03300000000036</v>
      </c>
      <c r="Q39" s="119">
        <f t="shared" si="35"/>
        <v>70.114968507160086</v>
      </c>
    </row>
    <row r="40" spans="1:21" s="83" customFormat="1" ht="58.5" x14ac:dyDescent="0.25">
      <c r="A40" s="80" t="s">
        <v>145</v>
      </c>
      <c r="B40" s="132" t="s">
        <v>75</v>
      </c>
      <c r="C40" s="142" t="s">
        <v>74</v>
      </c>
      <c r="D40" s="120">
        <v>1700</v>
      </c>
      <c r="E40" s="120">
        <v>1700</v>
      </c>
      <c r="F40" s="121">
        <f t="shared" si="16"/>
        <v>93.847999999999999</v>
      </c>
      <c r="G40" s="120">
        <v>93.847999999999999</v>
      </c>
      <c r="H40" s="120">
        <v>86</v>
      </c>
      <c r="I40" s="120">
        <f t="shared" si="17"/>
        <v>7.847999999999999</v>
      </c>
      <c r="J40" s="194">
        <f t="shared" si="18"/>
        <v>109.12558139534883</v>
      </c>
      <c r="K40" s="120">
        <f t="shared" si="19"/>
        <v>141.66666666666666</v>
      </c>
      <c r="L40" s="120">
        <f t="shared" si="20"/>
        <v>-47.818666666666658</v>
      </c>
      <c r="M40" s="194">
        <f t="shared" si="21"/>
        <v>66.245647058823536</v>
      </c>
      <c r="N40" s="194">
        <f t="shared" si="22"/>
        <v>5.5204705882352938</v>
      </c>
      <c r="O40" s="121">
        <v>84.753</v>
      </c>
      <c r="P40" s="122">
        <f t="shared" si="23"/>
        <v>9.0949999999999989</v>
      </c>
      <c r="Q40" s="123">
        <f t="shared" si="35"/>
        <v>110.73118355692424</v>
      </c>
      <c r="R40" s="123">
        <f>Q40-100</f>
        <v>10.731183556924236</v>
      </c>
      <c r="S40" s="81"/>
    </row>
    <row r="41" spans="1:21" s="83" customFormat="1" ht="23.25" x14ac:dyDescent="0.25">
      <c r="A41" s="80" t="s">
        <v>146</v>
      </c>
      <c r="B41" s="133" t="s">
        <v>59</v>
      </c>
      <c r="C41" s="67" t="s">
        <v>60</v>
      </c>
      <c r="D41" s="120">
        <v>38000</v>
      </c>
      <c r="E41" s="120">
        <v>38000</v>
      </c>
      <c r="F41" s="121">
        <f t="shared" si="16"/>
        <v>1766.578</v>
      </c>
      <c r="G41" s="120">
        <v>1766.578</v>
      </c>
      <c r="H41" s="120">
        <v>1685</v>
      </c>
      <c r="I41" s="120">
        <f t="shared" si="17"/>
        <v>81.577999999999975</v>
      </c>
      <c r="J41" s="194">
        <f t="shared" si="18"/>
        <v>104.8414243323442</v>
      </c>
      <c r="K41" s="120">
        <f t="shared" si="19"/>
        <v>3166.6666666666665</v>
      </c>
      <c r="L41" s="120">
        <f t="shared" si="20"/>
        <v>-1400.0886666666665</v>
      </c>
      <c r="M41" s="194">
        <f t="shared" si="21"/>
        <v>55.786673684210527</v>
      </c>
      <c r="N41" s="194">
        <f t="shared" si="22"/>
        <v>4.6488894736842106</v>
      </c>
      <c r="O41" s="121">
        <v>2625.3359999999998</v>
      </c>
      <c r="P41" s="122">
        <f t="shared" si="23"/>
        <v>-858.75799999999981</v>
      </c>
      <c r="Q41" s="123">
        <f t="shared" si="35"/>
        <v>67.289596455463226</v>
      </c>
      <c r="R41" s="123">
        <f>Q41-100</f>
        <v>-32.710403544536774</v>
      </c>
      <c r="S41" s="82"/>
    </row>
    <row r="42" spans="1:21" s="83" customFormat="1" ht="39" x14ac:dyDescent="0.25">
      <c r="A42" s="80" t="s">
        <v>147</v>
      </c>
      <c r="B42" s="133" t="s">
        <v>79</v>
      </c>
      <c r="C42" s="67" t="s">
        <v>76</v>
      </c>
      <c r="D42" s="120">
        <v>850</v>
      </c>
      <c r="E42" s="120">
        <v>850</v>
      </c>
      <c r="F42" s="121">
        <f t="shared" ref="F42:F62" si="38">SUM(G42:G42)</f>
        <v>90.97</v>
      </c>
      <c r="G42" s="120">
        <v>90.97</v>
      </c>
      <c r="H42" s="120">
        <v>86</v>
      </c>
      <c r="I42" s="120">
        <f t="shared" si="17"/>
        <v>4.9699999999999989</v>
      </c>
      <c r="J42" s="194">
        <f t="shared" si="18"/>
        <v>105.77906976744187</v>
      </c>
      <c r="K42" s="120">
        <f t="shared" si="19"/>
        <v>70.833333333333329</v>
      </c>
      <c r="L42" s="120">
        <f t="shared" si="20"/>
        <v>20.13666666666667</v>
      </c>
      <c r="M42" s="194">
        <f t="shared" si="21"/>
        <v>128.42823529411766</v>
      </c>
      <c r="N42" s="194">
        <f t="shared" si="22"/>
        <v>10.70235294117647</v>
      </c>
      <c r="O42" s="121">
        <v>73.34</v>
      </c>
      <c r="P42" s="122">
        <f t="shared" ref="P42:P62" si="39">F42-O42</f>
        <v>17.629999999999995</v>
      </c>
      <c r="Q42" s="123">
        <f t="shared" si="35"/>
        <v>124.03872375238613</v>
      </c>
    </row>
    <row r="43" spans="1:21" s="83" customFormat="1" ht="136.5" x14ac:dyDescent="0.25">
      <c r="A43" s="80" t="s">
        <v>148</v>
      </c>
      <c r="B43" s="134" t="s">
        <v>78</v>
      </c>
      <c r="C43" s="67" t="s">
        <v>77</v>
      </c>
      <c r="D43" s="120">
        <v>116</v>
      </c>
      <c r="E43" s="120">
        <v>116</v>
      </c>
      <c r="F43" s="121">
        <f t="shared" si="38"/>
        <v>3.03</v>
      </c>
      <c r="G43" s="120">
        <v>3.03</v>
      </c>
      <c r="H43" s="120">
        <v>3</v>
      </c>
      <c r="I43" s="120">
        <f t="shared" si="17"/>
        <v>2.9999999999999805E-2</v>
      </c>
      <c r="J43" s="194">
        <f t="shared" si="18"/>
        <v>101</v>
      </c>
      <c r="K43" s="120">
        <f t="shared" si="19"/>
        <v>9.6666666666666661</v>
      </c>
      <c r="L43" s="120">
        <f t="shared" si="20"/>
        <v>-6.6366666666666667</v>
      </c>
      <c r="M43" s="194">
        <f t="shared" si="21"/>
        <v>31.344827586206897</v>
      </c>
      <c r="N43" s="194">
        <f t="shared" si="22"/>
        <v>2.6120689655172411</v>
      </c>
      <c r="O43" s="121">
        <v>4.03</v>
      </c>
      <c r="P43" s="122">
        <f t="shared" si="39"/>
        <v>-1.0000000000000004</v>
      </c>
      <c r="Q43" s="123">
        <f t="shared" si="35"/>
        <v>75.186104218362274</v>
      </c>
    </row>
    <row r="44" spans="1:21" s="79" customFormat="1" ht="58.5" x14ac:dyDescent="0.25">
      <c r="A44" s="75">
        <v>16</v>
      </c>
      <c r="B44" s="181" t="s">
        <v>35</v>
      </c>
      <c r="C44" s="76" t="s">
        <v>19</v>
      </c>
      <c r="D44" s="116">
        <v>12000</v>
      </c>
      <c r="E44" s="116">
        <v>12000</v>
      </c>
      <c r="F44" s="117">
        <f t="shared" si="38"/>
        <v>1306.3779999999999</v>
      </c>
      <c r="G44" s="116">
        <v>1306.3779999999999</v>
      </c>
      <c r="H44" s="116">
        <v>1300</v>
      </c>
      <c r="I44" s="116">
        <f t="shared" si="17"/>
        <v>6.3779999999999291</v>
      </c>
      <c r="J44" s="193">
        <f t="shared" si="18"/>
        <v>100.4906153846154</v>
      </c>
      <c r="K44" s="116">
        <f t="shared" si="19"/>
        <v>1000</v>
      </c>
      <c r="L44" s="116">
        <f t="shared" si="20"/>
        <v>306.37799999999993</v>
      </c>
      <c r="M44" s="193">
        <f t="shared" si="21"/>
        <v>130.6378</v>
      </c>
      <c r="N44" s="193">
        <f t="shared" si="22"/>
        <v>10.886483333333333</v>
      </c>
      <c r="O44" s="117">
        <v>3396.0749999999998</v>
      </c>
      <c r="P44" s="118">
        <f t="shared" si="39"/>
        <v>-2089.6970000000001</v>
      </c>
      <c r="Q44" s="119">
        <f t="shared" si="35"/>
        <v>38.467289444432176</v>
      </c>
      <c r="R44" s="79">
        <v>3831.8429999999998</v>
      </c>
    </row>
    <row r="45" spans="1:21" s="79" customFormat="1" ht="23.25" x14ac:dyDescent="0.25">
      <c r="A45" s="75">
        <f t="shared" ref="A45:A51" si="40">A44+1</f>
        <v>17</v>
      </c>
      <c r="B45" s="84" t="s">
        <v>54</v>
      </c>
      <c r="C45" s="76" t="s">
        <v>15</v>
      </c>
      <c r="D45" s="116">
        <v>590.10500000000002</v>
      </c>
      <c r="E45" s="116">
        <v>590.10500000000002</v>
      </c>
      <c r="F45" s="117">
        <f t="shared" si="38"/>
        <v>41.896999999999998</v>
      </c>
      <c r="G45" s="116">
        <v>41.896999999999998</v>
      </c>
      <c r="H45" s="116">
        <v>40.360999999999997</v>
      </c>
      <c r="I45" s="116">
        <f t="shared" si="17"/>
        <v>1.5360000000000014</v>
      </c>
      <c r="J45" s="193">
        <f t="shared" si="18"/>
        <v>103.80565397289463</v>
      </c>
      <c r="K45" s="116">
        <f t="shared" si="19"/>
        <v>49.175416666666671</v>
      </c>
      <c r="L45" s="116">
        <f t="shared" si="20"/>
        <v>-7.2784166666666721</v>
      </c>
      <c r="M45" s="193">
        <f t="shared" si="21"/>
        <v>85.199074740935927</v>
      </c>
      <c r="N45" s="193">
        <f t="shared" si="22"/>
        <v>7.0999228950779942</v>
      </c>
      <c r="O45" s="117">
        <v>22.706</v>
      </c>
      <c r="P45" s="118">
        <f t="shared" si="39"/>
        <v>19.190999999999999</v>
      </c>
      <c r="Q45" s="119">
        <f t="shared" si="35"/>
        <v>184.51951026160486</v>
      </c>
      <c r="R45" s="78">
        <f>100-Q45</f>
        <v>-84.519510261604864</v>
      </c>
    </row>
    <row r="46" spans="1:21" s="79" customFormat="1" ht="97.5" x14ac:dyDescent="0.25">
      <c r="A46" s="75">
        <f t="shared" si="40"/>
        <v>18</v>
      </c>
      <c r="B46" s="84" t="s">
        <v>95</v>
      </c>
      <c r="C46" s="76" t="s">
        <v>94</v>
      </c>
      <c r="D46" s="116">
        <v>31</v>
      </c>
      <c r="E46" s="116">
        <v>31</v>
      </c>
      <c r="F46" s="117">
        <f t="shared" si="38"/>
        <v>0.56399999999999995</v>
      </c>
      <c r="G46" s="116">
        <v>0.56399999999999995</v>
      </c>
      <c r="H46" s="116">
        <v>0.56000000000000005</v>
      </c>
      <c r="I46" s="116">
        <f t="shared" si="17"/>
        <v>3.9999999999998925E-3</v>
      </c>
      <c r="J46" s="193">
        <f t="shared" si="18"/>
        <v>100.71428571428569</v>
      </c>
      <c r="K46" s="116">
        <f t="shared" si="19"/>
        <v>2.5833333333333335</v>
      </c>
      <c r="L46" s="116">
        <f t="shared" si="20"/>
        <v>-2.0193333333333334</v>
      </c>
      <c r="M46" s="193">
        <f t="shared" si="21"/>
        <v>21.832258064516125</v>
      </c>
      <c r="N46" s="193">
        <f t="shared" si="22"/>
        <v>1.8193548387096772</v>
      </c>
      <c r="O46" s="117">
        <v>2.472</v>
      </c>
      <c r="P46" s="118">
        <f t="shared" si="39"/>
        <v>-1.9079999999999999</v>
      </c>
      <c r="Q46" s="119">
        <f t="shared" si="35"/>
        <v>22.815533980582522</v>
      </c>
    </row>
    <row r="47" spans="1:21" s="79" customFormat="1" ht="39" x14ac:dyDescent="0.25">
      <c r="A47" s="75">
        <f t="shared" si="40"/>
        <v>19</v>
      </c>
      <c r="B47" s="104" t="s">
        <v>61</v>
      </c>
      <c r="C47" s="32" t="s">
        <v>62</v>
      </c>
      <c r="D47" s="116">
        <v>500</v>
      </c>
      <c r="E47" s="116">
        <v>500</v>
      </c>
      <c r="F47" s="117">
        <f t="shared" si="38"/>
        <v>0</v>
      </c>
      <c r="G47" s="116">
        <v>0</v>
      </c>
      <c r="H47" s="116">
        <v>0</v>
      </c>
      <c r="I47" s="116">
        <f t="shared" si="17"/>
        <v>0</v>
      </c>
      <c r="J47" s="193"/>
      <c r="K47" s="116">
        <f t="shared" si="19"/>
        <v>41.666666666666664</v>
      </c>
      <c r="L47" s="116">
        <f t="shared" si="20"/>
        <v>-41.666666666666664</v>
      </c>
      <c r="M47" s="193">
        <f t="shared" si="21"/>
        <v>0</v>
      </c>
      <c r="N47" s="193">
        <f t="shared" si="22"/>
        <v>0</v>
      </c>
      <c r="O47" s="117">
        <v>0</v>
      </c>
      <c r="P47" s="118">
        <f t="shared" si="39"/>
        <v>0</v>
      </c>
      <c r="Q47" s="119"/>
    </row>
    <row r="48" spans="1:21" s="79" customFormat="1" ht="23.25" x14ac:dyDescent="0.25">
      <c r="A48" s="75">
        <f t="shared" si="40"/>
        <v>20</v>
      </c>
      <c r="B48" s="84" t="s">
        <v>8</v>
      </c>
      <c r="C48" s="76" t="s">
        <v>20</v>
      </c>
      <c r="D48" s="116">
        <v>1700</v>
      </c>
      <c r="E48" s="116">
        <v>1700</v>
      </c>
      <c r="F48" s="117">
        <f t="shared" si="38"/>
        <v>1390.5530000000001</v>
      </c>
      <c r="G48" s="116">
        <v>1390.5530000000001</v>
      </c>
      <c r="H48" s="116">
        <v>1300</v>
      </c>
      <c r="I48" s="116">
        <f t="shared" si="17"/>
        <v>90.553000000000111</v>
      </c>
      <c r="J48" s="193">
        <f t="shared" si="18"/>
        <v>106.9656153846154</v>
      </c>
      <c r="K48" s="116">
        <f t="shared" si="19"/>
        <v>141.66666666666666</v>
      </c>
      <c r="L48" s="116">
        <f t="shared" si="20"/>
        <v>1248.8863333333334</v>
      </c>
      <c r="M48" s="193">
        <f t="shared" si="21"/>
        <v>981.56682352941186</v>
      </c>
      <c r="N48" s="193">
        <f t="shared" si="22"/>
        <v>81.797235294117655</v>
      </c>
      <c r="O48" s="117">
        <v>255.631</v>
      </c>
      <c r="P48" s="118">
        <f t="shared" si="39"/>
        <v>1134.922</v>
      </c>
      <c r="Q48" s="119">
        <f>F48/O48*100</f>
        <v>543.96884571902478</v>
      </c>
      <c r="U48" s="79">
        <v>246438.04</v>
      </c>
    </row>
    <row r="49" spans="1:24" s="79" customFormat="1" ht="175.5" x14ac:dyDescent="0.25">
      <c r="A49" s="75">
        <f t="shared" si="40"/>
        <v>21</v>
      </c>
      <c r="B49" s="84" t="s">
        <v>53</v>
      </c>
      <c r="C49" s="76" t="s">
        <v>47</v>
      </c>
      <c r="D49" s="116">
        <v>2500</v>
      </c>
      <c r="E49" s="116">
        <v>2500</v>
      </c>
      <c r="F49" s="117">
        <f t="shared" si="38"/>
        <v>126.11199999999999</v>
      </c>
      <c r="G49" s="116">
        <v>126.11199999999999</v>
      </c>
      <c r="H49" s="116">
        <v>126</v>
      </c>
      <c r="I49" s="116">
        <f t="shared" si="17"/>
        <v>0.11199999999999477</v>
      </c>
      <c r="J49" s="193">
        <f t="shared" si="18"/>
        <v>100.08888888888889</v>
      </c>
      <c r="K49" s="116">
        <f t="shared" si="19"/>
        <v>208.33333333333334</v>
      </c>
      <c r="L49" s="116">
        <f t="shared" si="20"/>
        <v>-82.221333333333348</v>
      </c>
      <c r="M49" s="193">
        <f t="shared" si="21"/>
        <v>60.533759999999994</v>
      </c>
      <c r="N49" s="193">
        <f t="shared" si="22"/>
        <v>5.0444800000000001</v>
      </c>
      <c r="O49" s="117">
        <v>1130.5809999999999</v>
      </c>
      <c r="P49" s="118">
        <f t="shared" si="39"/>
        <v>-1004.4689999999999</v>
      </c>
      <c r="Q49" s="119">
        <f>F49/O49*100</f>
        <v>11.154618731431007</v>
      </c>
    </row>
    <row r="50" spans="1:24" s="79" customFormat="1" ht="97.5" x14ac:dyDescent="0.25">
      <c r="A50" s="75">
        <f t="shared" si="40"/>
        <v>22</v>
      </c>
      <c r="B50" s="84" t="s">
        <v>121</v>
      </c>
      <c r="C50" s="76" t="s">
        <v>120</v>
      </c>
      <c r="D50" s="116">
        <v>0.25</v>
      </c>
      <c r="E50" s="116">
        <v>0.25</v>
      </c>
      <c r="F50" s="117">
        <f t="shared" si="38"/>
        <v>0</v>
      </c>
      <c r="G50" s="116">
        <v>0</v>
      </c>
      <c r="H50" s="116">
        <v>0</v>
      </c>
      <c r="I50" s="116">
        <f t="shared" si="17"/>
        <v>0</v>
      </c>
      <c r="J50" s="193"/>
      <c r="K50" s="116">
        <f t="shared" si="19"/>
        <v>2.0833333333333332E-2</v>
      </c>
      <c r="L50" s="116">
        <f t="shared" si="20"/>
        <v>-2.0833333333333332E-2</v>
      </c>
      <c r="M50" s="193">
        <f t="shared" si="21"/>
        <v>0</v>
      </c>
      <c r="N50" s="193">
        <f t="shared" si="22"/>
        <v>0</v>
      </c>
      <c r="O50" s="117">
        <v>0</v>
      </c>
      <c r="P50" s="118">
        <f t="shared" si="39"/>
        <v>0</v>
      </c>
      <c r="Q50" s="119"/>
      <c r="S50" s="77">
        <f>F52-F48</f>
        <v>425355.28700000007</v>
      </c>
      <c r="T50" s="77">
        <f>O52-O48</f>
        <v>409197.19599999988</v>
      </c>
      <c r="U50" s="78">
        <f>S50/T50</f>
        <v>1.0394872964867534</v>
      </c>
    </row>
    <row r="51" spans="1:24" s="79" customFormat="1" ht="39" x14ac:dyDescent="0.25">
      <c r="A51" s="75">
        <f t="shared" si="40"/>
        <v>23</v>
      </c>
      <c r="B51" s="84" t="s">
        <v>85</v>
      </c>
      <c r="C51" s="76" t="s">
        <v>84</v>
      </c>
      <c r="D51" s="116">
        <v>0.25</v>
      </c>
      <c r="E51" s="116">
        <v>0.25</v>
      </c>
      <c r="F51" s="117">
        <f t="shared" si="38"/>
        <v>0</v>
      </c>
      <c r="G51" s="116">
        <v>0</v>
      </c>
      <c r="H51" s="116">
        <v>0</v>
      </c>
      <c r="I51" s="116">
        <f t="shared" si="17"/>
        <v>0</v>
      </c>
      <c r="J51" s="193"/>
      <c r="K51" s="116">
        <f t="shared" si="19"/>
        <v>2.0833333333333332E-2</v>
      </c>
      <c r="L51" s="116">
        <f t="shared" si="20"/>
        <v>-2.0833333333333332E-2</v>
      </c>
      <c r="M51" s="193">
        <f t="shared" si="21"/>
        <v>0</v>
      </c>
      <c r="N51" s="193">
        <f t="shared" si="22"/>
        <v>0</v>
      </c>
      <c r="O51" s="117">
        <v>0</v>
      </c>
      <c r="P51" s="118">
        <f t="shared" si="39"/>
        <v>0</v>
      </c>
      <c r="Q51" s="119"/>
    </row>
    <row r="52" spans="1:24" s="89" customFormat="1" ht="31.5" customHeight="1" x14ac:dyDescent="0.3">
      <c r="A52" s="237" t="s">
        <v>165</v>
      </c>
      <c r="B52" s="238"/>
      <c r="C52" s="239"/>
      <c r="D52" s="86">
        <f>D7+D10+D11+D16+D24+D30+D31+D32+D33+D34+D35+D36+D39+D44+D45+D46+D47+D48+D49+D51+D50+D38+D37</f>
        <v>5219750.3770000003</v>
      </c>
      <c r="E52" s="86">
        <f>E7+E10+E11+E16+E24+E30+E31+E32+E33+E34+E35+E36+E39+E44+E45+E46+E47+E48+E49+E51+E50+E38+E37</f>
        <v>5219750.3770000003</v>
      </c>
      <c r="F52" s="86">
        <f t="shared" si="38"/>
        <v>426745.84000000008</v>
      </c>
      <c r="G52" s="86">
        <f t="shared" ref="G52" si="41">G7+G10+G11+G16+G24+G30+G31+G32+G33+G34+G35+G36+G39+G44+G45+G46+G47+G48+G49+G51+G50+G38+G37+G23</f>
        <v>426745.84000000008</v>
      </c>
      <c r="H52" s="86">
        <f>H7+H10+H11+H16+H24+H30+H31+H32+H33+H34+H35+H36+H39+H44+H45+H46+H47+H48+H49+H51+H50+H38+H37</f>
        <v>373393.78899999999</v>
      </c>
      <c r="I52" s="86">
        <f t="shared" si="17"/>
        <v>53352.051000000094</v>
      </c>
      <c r="J52" s="195">
        <f t="shared" si="18"/>
        <v>114.28841415463398</v>
      </c>
      <c r="K52" s="86">
        <f>K7+K10+K11+K16+K24+K30+K31+K32+K33+K34+K35+K36+K39+K44+K45+K46+K47+K48+K49+K51+K50+K38+K37</f>
        <v>434979.19808333332</v>
      </c>
      <c r="L52" s="86">
        <f t="shared" si="20"/>
        <v>-8233.358083333238</v>
      </c>
      <c r="M52" s="195">
        <f t="shared" si="21"/>
        <v>98.107183488403066</v>
      </c>
      <c r="N52" s="195">
        <f t="shared" si="22"/>
        <v>8.1755986240335901</v>
      </c>
      <c r="O52" s="86">
        <f>O7+O10+O11+O16+O24+O30+O31+O32+O33+O34+O35+O36+O39+O44+O45+O46+O47+O48+O49+O51+O50+O38+O23</f>
        <v>409452.82699999987</v>
      </c>
      <c r="P52" s="87">
        <f t="shared" si="39"/>
        <v>17293.01300000021</v>
      </c>
      <c r="Q52" s="88">
        <f>F52/O52*100</f>
        <v>104.22344452392809</v>
      </c>
      <c r="R52" s="90">
        <v>409452.82699999987</v>
      </c>
      <c r="S52" s="90">
        <f>R52-O52</f>
        <v>0</v>
      </c>
      <c r="V52" s="90" t="e">
        <f>#REF!-#REF!-#REF!</f>
        <v>#REF!</v>
      </c>
      <c r="X52" s="89">
        <v>294547.38299999997</v>
      </c>
    </row>
    <row r="53" spans="1:24" s="89" customFormat="1" ht="65.25" customHeight="1" x14ac:dyDescent="0.3">
      <c r="A53" s="237" t="s">
        <v>187</v>
      </c>
      <c r="B53" s="238"/>
      <c r="C53" s="239"/>
      <c r="D53" s="86">
        <f>D52</f>
        <v>5219750.3770000003</v>
      </c>
      <c r="E53" s="86">
        <f>E52</f>
        <v>5219750.3770000003</v>
      </c>
      <c r="F53" s="86">
        <f t="shared" si="38"/>
        <v>426745.84000000008</v>
      </c>
      <c r="G53" s="86">
        <f>G52</f>
        <v>426745.84000000008</v>
      </c>
      <c r="H53" s="86">
        <f>H52</f>
        <v>373393.78899999999</v>
      </c>
      <c r="I53" s="86">
        <f t="shared" ref="I53" si="42">F53-H53</f>
        <v>53352.051000000094</v>
      </c>
      <c r="J53" s="195">
        <f t="shared" ref="J53" si="43">F53/H53*100</f>
        <v>114.28841415463398</v>
      </c>
      <c r="K53" s="86">
        <f>K52</f>
        <v>434979.19808333332</v>
      </c>
      <c r="L53" s="86">
        <f t="shared" ref="L53" si="44">F53-K53</f>
        <v>-8233.358083333238</v>
      </c>
      <c r="M53" s="195">
        <f t="shared" ref="M53" si="45">F53/K53*100</f>
        <v>98.107183488403066</v>
      </c>
      <c r="N53" s="195">
        <f t="shared" ref="N53" si="46">F53/E53*100</f>
        <v>8.1755986240335901</v>
      </c>
      <c r="O53" s="86">
        <f>O52-O8</f>
        <v>342011.45699999988</v>
      </c>
      <c r="P53" s="87">
        <f t="shared" si="39"/>
        <v>84734.383000000205</v>
      </c>
      <c r="Q53" s="88">
        <f>F53/O53*100</f>
        <v>124.77530540738589</v>
      </c>
      <c r="R53" s="90"/>
      <c r="S53" s="90"/>
      <c r="V53" s="90"/>
    </row>
    <row r="54" spans="1:24" s="9" customFormat="1" ht="39" x14ac:dyDescent="0.25">
      <c r="A54" s="23">
        <v>1</v>
      </c>
      <c r="B54" s="59" t="s">
        <v>150</v>
      </c>
      <c r="C54" s="24" t="s">
        <v>55</v>
      </c>
      <c r="D54" s="124">
        <v>879086.1</v>
      </c>
      <c r="E54" s="124">
        <v>879086.1</v>
      </c>
      <c r="F54" s="117">
        <f t="shared" si="38"/>
        <v>63808.4</v>
      </c>
      <c r="G54" s="116">
        <v>63808.4</v>
      </c>
      <c r="H54" s="116">
        <v>63808.4</v>
      </c>
      <c r="I54" s="116">
        <f t="shared" si="17"/>
        <v>0</v>
      </c>
      <c r="J54" s="193">
        <f t="shared" si="18"/>
        <v>100</v>
      </c>
      <c r="K54" s="116">
        <f>H54</f>
        <v>63808.4</v>
      </c>
      <c r="L54" s="116">
        <f t="shared" si="20"/>
        <v>0</v>
      </c>
      <c r="M54" s="193">
        <f t="shared" si="21"/>
        <v>100</v>
      </c>
      <c r="N54" s="193">
        <f t="shared" si="22"/>
        <v>7.2584926550425495</v>
      </c>
      <c r="O54" s="117">
        <v>58102.400000000001</v>
      </c>
      <c r="P54" s="118">
        <f t="shared" si="39"/>
        <v>5706</v>
      </c>
      <c r="Q54" s="119">
        <f>F54/O54*100</f>
        <v>109.82059260891117</v>
      </c>
      <c r="R54" s="40"/>
      <c r="S54" s="40"/>
      <c r="T54" s="40"/>
      <c r="U54" s="42"/>
    </row>
    <row r="55" spans="1:24" s="9" customFormat="1" ht="58.5" x14ac:dyDescent="0.25">
      <c r="A55" s="23">
        <f>A54+1</f>
        <v>2</v>
      </c>
      <c r="B55" s="178" t="s">
        <v>151</v>
      </c>
      <c r="C55" s="143" t="s">
        <v>117</v>
      </c>
      <c r="D55" s="124">
        <v>23435.05</v>
      </c>
      <c r="E55" s="124">
        <v>23435.05</v>
      </c>
      <c r="F55" s="117">
        <f t="shared" si="38"/>
        <v>1701.0619999999999</v>
      </c>
      <c r="G55" s="116">
        <v>1701.0619999999999</v>
      </c>
      <c r="H55" s="116">
        <v>1701.0619999999999</v>
      </c>
      <c r="I55" s="116">
        <f t="shared" si="17"/>
        <v>0</v>
      </c>
      <c r="J55" s="193">
        <f t="shared" si="18"/>
        <v>100</v>
      </c>
      <c r="K55" s="116">
        <f t="shared" ref="K55:K61" si="47">H55</f>
        <v>1701.0619999999999</v>
      </c>
      <c r="L55" s="116">
        <f t="shared" si="20"/>
        <v>0</v>
      </c>
      <c r="M55" s="193">
        <f t="shared" si="21"/>
        <v>100</v>
      </c>
      <c r="N55" s="193">
        <f t="shared" si="22"/>
        <v>7.2586233014224417</v>
      </c>
      <c r="O55" s="117">
        <v>1367.232</v>
      </c>
      <c r="P55" s="118">
        <f t="shared" si="39"/>
        <v>333.82999999999993</v>
      </c>
      <c r="Q55" s="119">
        <f>F55/O55*100</f>
        <v>124.41648527828488</v>
      </c>
    </row>
    <row r="56" spans="1:24" s="9" customFormat="1" ht="78" x14ac:dyDescent="0.25">
      <c r="A56" s="23">
        <f t="shared" ref="A56:A57" si="48">A55+1</f>
        <v>3</v>
      </c>
      <c r="B56" s="178" t="s">
        <v>152</v>
      </c>
      <c r="C56" s="143">
        <v>41051200</v>
      </c>
      <c r="D56" s="124"/>
      <c r="E56" s="124"/>
      <c r="F56" s="117">
        <f t="shared" si="38"/>
        <v>0</v>
      </c>
      <c r="G56" s="116">
        <v>0</v>
      </c>
      <c r="H56" s="116">
        <v>0</v>
      </c>
      <c r="I56" s="116">
        <f t="shared" si="17"/>
        <v>0</v>
      </c>
      <c r="J56" s="193"/>
      <c r="K56" s="116">
        <f t="shared" si="47"/>
        <v>0</v>
      </c>
      <c r="L56" s="116">
        <f t="shared" si="20"/>
        <v>0</v>
      </c>
      <c r="M56" s="193"/>
      <c r="N56" s="193"/>
      <c r="O56" s="117">
        <v>217.81800000000001</v>
      </c>
      <c r="P56" s="118">
        <f t="shared" si="39"/>
        <v>-217.81800000000001</v>
      </c>
      <c r="Q56" s="119">
        <f>F56/O56*100</f>
        <v>0</v>
      </c>
    </row>
    <row r="57" spans="1:24" s="9" customFormat="1" ht="23.25" x14ac:dyDescent="0.25">
      <c r="A57" s="23">
        <f t="shared" si="48"/>
        <v>4</v>
      </c>
      <c r="B57" s="179" t="s">
        <v>153</v>
      </c>
      <c r="C57" s="143" t="s">
        <v>109</v>
      </c>
      <c r="D57" s="124">
        <f>SUM(D58:D61)</f>
        <v>1982.317</v>
      </c>
      <c r="E57" s="124">
        <f>SUM(E58:E61)</f>
        <v>1982.317</v>
      </c>
      <c r="F57" s="117">
        <f t="shared" si="38"/>
        <v>0</v>
      </c>
      <c r="G57" s="116">
        <f>SUM(G58:G61)</f>
        <v>0</v>
      </c>
      <c r="H57" s="116">
        <f>SUM(H58:H61)</f>
        <v>71.801000000000002</v>
      </c>
      <c r="I57" s="116">
        <f t="shared" si="17"/>
        <v>-71.801000000000002</v>
      </c>
      <c r="J57" s="193">
        <f t="shared" si="18"/>
        <v>0</v>
      </c>
      <c r="K57" s="116">
        <f t="shared" si="47"/>
        <v>71.801000000000002</v>
      </c>
      <c r="L57" s="116">
        <f t="shared" si="20"/>
        <v>-71.801000000000002</v>
      </c>
      <c r="M57" s="193">
        <f t="shared" si="21"/>
        <v>0</v>
      </c>
      <c r="N57" s="193">
        <f t="shared" si="22"/>
        <v>0</v>
      </c>
      <c r="O57" s="117">
        <f>SUM(O58:O61)</f>
        <v>0</v>
      </c>
      <c r="P57" s="118">
        <f t="shared" si="39"/>
        <v>0</v>
      </c>
      <c r="Q57" s="119"/>
      <c r="R57" s="117"/>
      <c r="S57" s="117"/>
    </row>
    <row r="58" spans="1:24" s="39" customFormat="1" ht="39" x14ac:dyDescent="0.25">
      <c r="A58" s="38" t="s">
        <v>118</v>
      </c>
      <c r="B58" s="180" t="s">
        <v>154</v>
      </c>
      <c r="C58" s="103"/>
      <c r="D58" s="125">
        <v>105</v>
      </c>
      <c r="E58" s="125">
        <v>105</v>
      </c>
      <c r="F58" s="121">
        <f t="shared" si="38"/>
        <v>0</v>
      </c>
      <c r="G58" s="120">
        <v>0</v>
      </c>
      <c r="H58" s="120">
        <v>7.7519999999999998</v>
      </c>
      <c r="I58" s="120">
        <f t="shared" si="17"/>
        <v>-7.7519999999999998</v>
      </c>
      <c r="J58" s="194">
        <f t="shared" si="18"/>
        <v>0</v>
      </c>
      <c r="K58" s="120">
        <f t="shared" si="47"/>
        <v>7.7519999999999998</v>
      </c>
      <c r="L58" s="120">
        <f t="shared" si="20"/>
        <v>-7.7519999999999998</v>
      </c>
      <c r="M58" s="194">
        <f t="shared" si="21"/>
        <v>0</v>
      </c>
      <c r="N58" s="194">
        <f t="shared" si="22"/>
        <v>0</v>
      </c>
      <c r="O58" s="121">
        <v>0</v>
      </c>
      <c r="P58" s="122">
        <f t="shared" si="39"/>
        <v>0</v>
      </c>
      <c r="Q58" s="123"/>
    </row>
    <row r="59" spans="1:24" s="39" customFormat="1" ht="39" x14ac:dyDescent="0.25">
      <c r="A59" s="38" t="s">
        <v>119</v>
      </c>
      <c r="B59" s="180" t="s">
        <v>155</v>
      </c>
      <c r="C59" s="103"/>
      <c r="D59" s="125">
        <v>1246.7</v>
      </c>
      <c r="E59" s="125">
        <v>1246.7</v>
      </c>
      <c r="F59" s="121">
        <f t="shared" si="38"/>
        <v>0</v>
      </c>
      <c r="G59" s="120">
        <v>0</v>
      </c>
      <c r="H59" s="120">
        <v>15.337</v>
      </c>
      <c r="I59" s="120">
        <f t="shared" si="17"/>
        <v>-15.337</v>
      </c>
      <c r="J59" s="194">
        <f t="shared" si="18"/>
        <v>0</v>
      </c>
      <c r="K59" s="120">
        <f t="shared" si="47"/>
        <v>15.337</v>
      </c>
      <c r="L59" s="120">
        <f t="shared" si="20"/>
        <v>-15.337</v>
      </c>
      <c r="M59" s="194">
        <f t="shared" si="21"/>
        <v>0</v>
      </c>
      <c r="N59" s="194">
        <f t="shared" si="22"/>
        <v>0</v>
      </c>
      <c r="O59" s="121">
        <v>0</v>
      </c>
      <c r="P59" s="122">
        <f t="shared" si="39"/>
        <v>0</v>
      </c>
      <c r="Q59" s="123"/>
    </row>
    <row r="60" spans="1:24" s="39" customFormat="1" ht="97.5" x14ac:dyDescent="0.25">
      <c r="A60" s="38" t="s">
        <v>190</v>
      </c>
      <c r="B60" s="180" t="s">
        <v>156</v>
      </c>
      <c r="C60" s="103"/>
      <c r="D60" s="125">
        <v>292.3</v>
      </c>
      <c r="E60" s="125">
        <v>292.3</v>
      </c>
      <c r="F60" s="121">
        <f t="shared" si="38"/>
        <v>0</v>
      </c>
      <c r="G60" s="120">
        <v>0</v>
      </c>
      <c r="H60" s="120">
        <v>48.712000000000003</v>
      </c>
      <c r="I60" s="120">
        <f t="shared" si="17"/>
        <v>-48.712000000000003</v>
      </c>
      <c r="J60" s="194">
        <f t="shared" si="18"/>
        <v>0</v>
      </c>
      <c r="K60" s="120">
        <f t="shared" si="47"/>
        <v>48.712000000000003</v>
      </c>
      <c r="L60" s="120">
        <f t="shared" si="20"/>
        <v>-48.712000000000003</v>
      </c>
      <c r="M60" s="194">
        <f t="shared" si="21"/>
        <v>0</v>
      </c>
      <c r="N60" s="194">
        <f t="shared" si="22"/>
        <v>0</v>
      </c>
      <c r="O60" s="121">
        <v>0</v>
      </c>
      <c r="P60" s="122">
        <f t="shared" si="39"/>
        <v>0</v>
      </c>
      <c r="Q60" s="123"/>
    </row>
    <row r="61" spans="1:24" s="39" customFormat="1" ht="97.5" x14ac:dyDescent="0.25">
      <c r="A61" s="38" t="s">
        <v>189</v>
      </c>
      <c r="B61" s="180" t="s">
        <v>169</v>
      </c>
      <c r="C61" s="103"/>
      <c r="D61" s="125">
        <v>338.31700000000001</v>
      </c>
      <c r="E61" s="125">
        <v>338.31700000000001</v>
      </c>
      <c r="F61" s="121">
        <f t="shared" si="38"/>
        <v>0</v>
      </c>
      <c r="G61" s="120">
        <v>0</v>
      </c>
      <c r="H61" s="120">
        <v>0</v>
      </c>
      <c r="I61" s="120">
        <f t="shared" si="17"/>
        <v>0</v>
      </c>
      <c r="J61" s="194"/>
      <c r="K61" s="120">
        <f t="shared" si="47"/>
        <v>0</v>
      </c>
      <c r="L61" s="120">
        <f t="shared" si="20"/>
        <v>0</v>
      </c>
      <c r="M61" s="194"/>
      <c r="N61" s="194">
        <f t="shared" si="22"/>
        <v>0</v>
      </c>
      <c r="O61" s="121">
        <v>0</v>
      </c>
      <c r="P61" s="122">
        <f t="shared" si="39"/>
        <v>0</v>
      </c>
      <c r="Q61" s="123"/>
    </row>
    <row r="62" spans="1:24" s="46" customFormat="1" ht="37.5" customHeight="1" x14ac:dyDescent="0.3">
      <c r="A62" s="43"/>
      <c r="B62" s="47" t="s">
        <v>29</v>
      </c>
      <c r="C62" s="44"/>
      <c r="D62" s="45">
        <f>D66+D65+D64</f>
        <v>904503.46699999995</v>
      </c>
      <c r="E62" s="45">
        <f>E66+E65+E64</f>
        <v>904503.46699999995</v>
      </c>
      <c r="F62" s="45">
        <f t="shared" si="38"/>
        <v>65509.462</v>
      </c>
      <c r="G62" s="45">
        <f t="shared" ref="G62" si="49">G66+G65+G64</f>
        <v>65509.462</v>
      </c>
      <c r="H62" s="45">
        <f>H66+H65+H64</f>
        <v>65581.263000000006</v>
      </c>
      <c r="I62" s="45">
        <f t="shared" si="17"/>
        <v>-71.801000000006752</v>
      </c>
      <c r="J62" s="196">
        <f t="shared" si="18"/>
        <v>99.890515984725695</v>
      </c>
      <c r="K62" s="45">
        <f>K66+K65+K64</f>
        <v>65581.263000000006</v>
      </c>
      <c r="L62" s="45">
        <f t="shared" si="20"/>
        <v>-71.801000000006752</v>
      </c>
      <c r="M62" s="196">
        <f t="shared" si="21"/>
        <v>99.890515984725695</v>
      </c>
      <c r="N62" s="196">
        <f t="shared" si="22"/>
        <v>7.2425882697031163</v>
      </c>
      <c r="O62" s="45">
        <f>O66+O65</f>
        <v>59687.450000000004</v>
      </c>
      <c r="P62" s="87">
        <f t="shared" si="39"/>
        <v>5822.0119999999952</v>
      </c>
      <c r="Q62" s="88">
        <f>F62/O62*100</f>
        <v>109.75416440139425</v>
      </c>
    </row>
    <row r="63" spans="1:24" s="12" customFormat="1" ht="23.25" x14ac:dyDescent="0.25">
      <c r="A63" s="11"/>
      <c r="B63" s="176" t="s">
        <v>96</v>
      </c>
      <c r="C63" s="10"/>
      <c r="D63" s="126"/>
      <c r="E63" s="126"/>
      <c r="F63" s="127"/>
      <c r="G63" s="126"/>
      <c r="H63" s="126"/>
      <c r="I63" s="126"/>
      <c r="J63" s="197"/>
      <c r="K63" s="126"/>
      <c r="L63" s="126"/>
      <c r="M63" s="197"/>
      <c r="N63" s="197"/>
      <c r="O63" s="127"/>
      <c r="P63" s="92"/>
      <c r="Q63" s="93"/>
    </row>
    <row r="64" spans="1:24" s="12" customFormat="1" ht="40.5" hidden="1" x14ac:dyDescent="0.25">
      <c r="A64" s="11"/>
      <c r="B64" s="165" t="s">
        <v>149</v>
      </c>
      <c r="C64" s="25"/>
      <c r="D64" s="54"/>
      <c r="E64" s="54"/>
      <c r="F64" s="45">
        <f>SUM(G64:G64)</f>
        <v>0</v>
      </c>
      <c r="G64" s="54"/>
      <c r="H64" s="54"/>
      <c r="I64" s="54"/>
      <c r="J64" s="191"/>
      <c r="K64" s="54"/>
      <c r="L64" s="54">
        <f t="shared" si="20"/>
        <v>0</v>
      </c>
      <c r="M64" s="191"/>
      <c r="N64" s="191"/>
      <c r="O64" s="45"/>
      <c r="P64" s="92"/>
      <c r="Q64" s="93"/>
    </row>
    <row r="65" spans="1:22" s="12" customFormat="1" ht="40.5" hidden="1" x14ac:dyDescent="0.25">
      <c r="A65" s="11"/>
      <c r="B65" s="165" t="s">
        <v>110</v>
      </c>
      <c r="C65" s="25"/>
      <c r="D65" s="54"/>
      <c r="E65" s="54"/>
      <c r="F65" s="45">
        <f>SUM(G65:G65)</f>
        <v>0</v>
      </c>
      <c r="G65" s="54"/>
      <c r="H65" s="54"/>
      <c r="I65" s="54"/>
      <c r="J65" s="191"/>
      <c r="K65" s="54"/>
      <c r="L65" s="54">
        <f t="shared" si="20"/>
        <v>0</v>
      </c>
      <c r="M65" s="191"/>
      <c r="N65" s="191"/>
      <c r="O65" s="45"/>
      <c r="P65" s="92"/>
      <c r="Q65" s="93"/>
    </row>
    <row r="66" spans="1:22" s="12" customFormat="1" ht="33.75" customHeight="1" x14ac:dyDescent="0.25">
      <c r="A66" s="11"/>
      <c r="B66" s="165" t="s">
        <v>72</v>
      </c>
      <c r="C66" s="25"/>
      <c r="D66" s="54">
        <f>D67+D68</f>
        <v>904503.46699999995</v>
      </c>
      <c r="E66" s="54">
        <f>E67+E68</f>
        <v>904503.46699999995</v>
      </c>
      <c r="F66" s="45">
        <f>SUM(G66:G66)</f>
        <v>65509.462</v>
      </c>
      <c r="G66" s="54">
        <f>G67+G68</f>
        <v>65509.462</v>
      </c>
      <c r="H66" s="54">
        <f>H67+H68</f>
        <v>65581.263000000006</v>
      </c>
      <c r="I66" s="54">
        <f t="shared" si="17"/>
        <v>-71.801000000006752</v>
      </c>
      <c r="J66" s="191">
        <f t="shared" si="18"/>
        <v>99.890515984725695</v>
      </c>
      <c r="K66" s="54">
        <f>K67+K68</f>
        <v>65581.263000000006</v>
      </c>
      <c r="L66" s="54">
        <f t="shared" si="20"/>
        <v>-71.801000000006752</v>
      </c>
      <c r="M66" s="191">
        <f t="shared" si="21"/>
        <v>99.890515984725695</v>
      </c>
      <c r="N66" s="191">
        <f t="shared" si="22"/>
        <v>7.2425882697031163</v>
      </c>
      <c r="O66" s="45">
        <f>O67+O68</f>
        <v>59687.450000000004</v>
      </c>
      <c r="P66" s="92">
        <f>F66-O66</f>
        <v>5822.0119999999952</v>
      </c>
      <c r="Q66" s="93">
        <f>F66/O66*100</f>
        <v>109.75416440139425</v>
      </c>
    </row>
    <row r="67" spans="1:22" s="7" customFormat="1" ht="33.75" customHeight="1" x14ac:dyDescent="0.25">
      <c r="A67" s="13"/>
      <c r="B67" s="16" t="s">
        <v>100</v>
      </c>
      <c r="C67" s="16"/>
      <c r="D67" s="125">
        <f>D54</f>
        <v>879086.1</v>
      </c>
      <c r="E67" s="125">
        <f>E54</f>
        <v>879086.1</v>
      </c>
      <c r="F67" s="128">
        <f>SUM(G67:G67)</f>
        <v>63808.4</v>
      </c>
      <c r="G67" s="125">
        <f>G54</f>
        <v>63808.4</v>
      </c>
      <c r="H67" s="125">
        <f>H54</f>
        <v>63808.4</v>
      </c>
      <c r="I67" s="125">
        <f t="shared" si="17"/>
        <v>0</v>
      </c>
      <c r="J67" s="198">
        <f t="shared" si="18"/>
        <v>100</v>
      </c>
      <c r="K67" s="125">
        <f>K54</f>
        <v>63808.4</v>
      </c>
      <c r="L67" s="125">
        <f t="shared" si="20"/>
        <v>0</v>
      </c>
      <c r="M67" s="198">
        <f t="shared" si="21"/>
        <v>100</v>
      </c>
      <c r="N67" s="198">
        <f t="shared" si="22"/>
        <v>7.2584926550425495</v>
      </c>
      <c r="O67" s="128">
        <f>O54</f>
        <v>58102.400000000001</v>
      </c>
      <c r="P67" s="122">
        <f>F67-O67</f>
        <v>5706</v>
      </c>
      <c r="Q67" s="123">
        <f>F67/O67*100</f>
        <v>109.82059260891117</v>
      </c>
    </row>
    <row r="68" spans="1:22" s="7" customFormat="1" ht="33.75" customHeight="1" x14ac:dyDescent="0.25">
      <c r="A68" s="13"/>
      <c r="B68" s="177" t="s">
        <v>99</v>
      </c>
      <c r="C68" s="16"/>
      <c r="D68" s="125">
        <f>D55+D57</f>
        <v>25417.366999999998</v>
      </c>
      <c r="E68" s="125">
        <f>E55+E57</f>
        <v>25417.366999999998</v>
      </c>
      <c r="F68" s="128">
        <f>SUM(G68:G68)</f>
        <v>1701.0619999999999</v>
      </c>
      <c r="G68" s="125">
        <f>G55+G57</f>
        <v>1701.0619999999999</v>
      </c>
      <c r="H68" s="125">
        <f>H55+H57</f>
        <v>1772.8629999999998</v>
      </c>
      <c r="I68" s="125">
        <f t="shared" si="17"/>
        <v>-71.800999999999931</v>
      </c>
      <c r="J68" s="198">
        <f t="shared" si="18"/>
        <v>95.949997264312032</v>
      </c>
      <c r="K68" s="125">
        <f>K55+K57</f>
        <v>1772.8629999999998</v>
      </c>
      <c r="L68" s="125">
        <f t="shared" si="20"/>
        <v>-71.800999999999931</v>
      </c>
      <c r="M68" s="198">
        <f t="shared" si="21"/>
        <v>95.949997264312032</v>
      </c>
      <c r="N68" s="198">
        <f t="shared" si="22"/>
        <v>6.6925185445054156</v>
      </c>
      <c r="O68" s="128">
        <f>O55+O57+O56</f>
        <v>1585.05</v>
      </c>
      <c r="P68" s="122">
        <f>F68-O68</f>
        <v>116.01199999999994</v>
      </c>
      <c r="Q68" s="123">
        <f>F68/O68*100</f>
        <v>107.31913819753321</v>
      </c>
    </row>
    <row r="69" spans="1:22" s="7" customFormat="1" ht="23.25" x14ac:dyDescent="0.25">
      <c r="A69" s="13"/>
      <c r="B69" s="41"/>
      <c r="C69" s="16"/>
      <c r="D69" s="125"/>
      <c r="E69" s="125"/>
      <c r="F69" s="128"/>
      <c r="G69" s="125"/>
      <c r="H69" s="125"/>
      <c r="I69" s="125"/>
      <c r="J69" s="198"/>
      <c r="K69" s="125"/>
      <c r="L69" s="125"/>
      <c r="M69" s="198"/>
      <c r="N69" s="198"/>
      <c r="O69" s="128"/>
      <c r="P69" s="122"/>
      <c r="Q69" s="123"/>
    </row>
    <row r="70" spans="1:22" s="153" customFormat="1" ht="46.5" x14ac:dyDescent="0.3">
      <c r="A70" s="146"/>
      <c r="B70" s="147" t="s">
        <v>28</v>
      </c>
      <c r="C70" s="148"/>
      <c r="D70" s="149">
        <f>D62+D52</f>
        <v>6124253.8440000005</v>
      </c>
      <c r="E70" s="149">
        <f>E62+E52</f>
        <v>6124253.8440000005</v>
      </c>
      <c r="F70" s="149">
        <f>SUM(G70:G70)</f>
        <v>492255.30200000008</v>
      </c>
      <c r="G70" s="149">
        <f>G62+G52</f>
        <v>492255.30200000008</v>
      </c>
      <c r="H70" s="149">
        <f>H62+H52</f>
        <v>438975.05200000003</v>
      </c>
      <c r="I70" s="149">
        <f t="shared" si="17"/>
        <v>53280.250000000058</v>
      </c>
      <c r="J70" s="199">
        <f t="shared" si="18"/>
        <v>112.13742096669313</v>
      </c>
      <c r="K70" s="149">
        <f>K62+K52</f>
        <v>500560.46108333336</v>
      </c>
      <c r="L70" s="149">
        <f t="shared" si="20"/>
        <v>-8305.1590833332739</v>
      </c>
      <c r="M70" s="199">
        <f t="shared" si="21"/>
        <v>98.340827986022134</v>
      </c>
      <c r="N70" s="199">
        <f t="shared" si="22"/>
        <v>8.0378004331461224</v>
      </c>
      <c r="O70" s="149">
        <f>O62+O52</f>
        <v>469140.27699999989</v>
      </c>
      <c r="P70" s="150">
        <f>F70-O70</f>
        <v>23115.025000000198</v>
      </c>
      <c r="Q70" s="151">
        <f>F70/O70*100</f>
        <v>104.92710307198804</v>
      </c>
      <c r="R70" s="149">
        <v>469140.27699999989</v>
      </c>
      <c r="S70" s="152">
        <f>R70-O70</f>
        <v>0</v>
      </c>
      <c r="V70" s="152"/>
    </row>
    <row r="71" spans="1:22" s="153" customFormat="1" ht="93" x14ac:dyDescent="0.3">
      <c r="A71" s="146"/>
      <c r="B71" s="147" t="s">
        <v>191</v>
      </c>
      <c r="C71" s="148"/>
      <c r="D71" s="149">
        <f>D70</f>
        <v>6124253.8440000005</v>
      </c>
      <c r="E71" s="149">
        <f>E70</f>
        <v>6124253.8440000005</v>
      </c>
      <c r="F71" s="149">
        <f>SUM(G71:G71)</f>
        <v>492255.30200000008</v>
      </c>
      <c r="G71" s="149">
        <f>G70</f>
        <v>492255.30200000008</v>
      </c>
      <c r="H71" s="149">
        <f>H70</f>
        <v>438975.05200000003</v>
      </c>
      <c r="I71" s="149">
        <f t="shared" ref="I71" si="50">F71-H71</f>
        <v>53280.250000000058</v>
      </c>
      <c r="J71" s="199">
        <f t="shared" ref="J71" si="51">F71/H71*100</f>
        <v>112.13742096669313</v>
      </c>
      <c r="K71" s="149">
        <f>K70</f>
        <v>500560.46108333336</v>
      </c>
      <c r="L71" s="149">
        <f t="shared" ref="L71" si="52">F71-K71</f>
        <v>-8305.1590833332739</v>
      </c>
      <c r="M71" s="199">
        <f t="shared" ref="M71" si="53">F71/K71*100</f>
        <v>98.340827986022134</v>
      </c>
      <c r="N71" s="199">
        <f t="shared" ref="N71" si="54">F71/E71*100</f>
        <v>8.0378004331461224</v>
      </c>
      <c r="O71" s="149">
        <f>O62+O53</f>
        <v>401698.90699999989</v>
      </c>
      <c r="P71" s="150">
        <f>F71-O71</f>
        <v>90556.395000000193</v>
      </c>
      <c r="Q71" s="151">
        <f>F71/O71*100</f>
        <v>122.54335110750007</v>
      </c>
      <c r="R71" s="149"/>
      <c r="S71" s="152"/>
      <c r="V71" s="152"/>
    </row>
    <row r="72" spans="1:22" s="9" customFormat="1" ht="20.25" x14ac:dyDescent="0.25">
      <c r="A72" s="250" t="s">
        <v>9</v>
      </c>
      <c r="B72" s="251"/>
      <c r="C72" s="251"/>
      <c r="D72" s="251"/>
      <c r="E72" s="251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2"/>
    </row>
    <row r="73" spans="1:22" s="60" customFormat="1" ht="39.75" customHeight="1" x14ac:dyDescent="0.3">
      <c r="A73" s="23">
        <v>1</v>
      </c>
      <c r="B73" s="59" t="s">
        <v>12</v>
      </c>
      <c r="C73" s="24" t="s">
        <v>21</v>
      </c>
      <c r="D73" s="124">
        <f>D74+D75</f>
        <v>88942.407999999996</v>
      </c>
      <c r="E73" s="124">
        <f>E74+E75</f>
        <v>88942.407999999996</v>
      </c>
      <c r="F73" s="117">
        <f t="shared" ref="F73:F83" si="55">SUM(G73:G73)</f>
        <v>9018.42</v>
      </c>
      <c r="G73" s="116">
        <f t="shared" ref="G73" si="56">G74+G75</f>
        <v>9018.42</v>
      </c>
      <c r="H73" s="116">
        <f>H74+H75</f>
        <v>7411.8670000000002</v>
      </c>
      <c r="I73" s="116">
        <f t="shared" ref="I73:I96" si="57">F73-H73</f>
        <v>1606.5529999999999</v>
      </c>
      <c r="J73" s="193">
        <f t="shared" ref="J73:J96" si="58">F73/H73*100</f>
        <v>121.67541592421991</v>
      </c>
      <c r="K73" s="116">
        <f>K74</f>
        <v>7411.8673333333327</v>
      </c>
      <c r="L73" s="116">
        <f t="shared" ref="L73:L96" si="59">F73-K73</f>
        <v>1606.5526666666674</v>
      </c>
      <c r="M73" s="193">
        <f t="shared" ref="M73:M96" si="60">F73/K73*100</f>
        <v>121.67541045212089</v>
      </c>
      <c r="N73" s="193">
        <f t="shared" ref="N73:N96" si="61">F73/E73*100</f>
        <v>10.139617537676742</v>
      </c>
      <c r="O73" s="117">
        <f t="shared" ref="O73" si="62">O74+O75</f>
        <v>12864.638999999999</v>
      </c>
      <c r="P73" s="118">
        <f t="shared" ref="P73:P83" si="63">F73-O73</f>
        <v>-3846.2189999999991</v>
      </c>
      <c r="Q73" s="119">
        <f t="shared" ref="Q73:Q79" si="64">F73/O73*100</f>
        <v>70.102394633848647</v>
      </c>
    </row>
    <row r="74" spans="1:22" s="63" customFormat="1" ht="39" x14ac:dyDescent="0.3">
      <c r="A74" s="38" t="s">
        <v>115</v>
      </c>
      <c r="B74" s="102" t="s">
        <v>111</v>
      </c>
      <c r="C74" s="16" t="s">
        <v>112</v>
      </c>
      <c r="D74" s="125">
        <v>88942.407999999996</v>
      </c>
      <c r="E74" s="125">
        <v>88942.407999999996</v>
      </c>
      <c r="F74" s="121">
        <f t="shared" si="55"/>
        <v>6842.0010000000002</v>
      </c>
      <c r="G74" s="120">
        <v>6842.0010000000002</v>
      </c>
      <c r="H74" s="120">
        <v>7411.8670000000002</v>
      </c>
      <c r="I74" s="120">
        <f t="shared" si="57"/>
        <v>-569.86599999999999</v>
      </c>
      <c r="J74" s="194">
        <f t="shared" si="58"/>
        <v>92.31143786039334</v>
      </c>
      <c r="K74" s="120">
        <f>E74/12*1</f>
        <v>7411.8673333333327</v>
      </c>
      <c r="L74" s="120">
        <f t="shared" si="59"/>
        <v>-569.86633333333248</v>
      </c>
      <c r="M74" s="194">
        <f t="shared" si="60"/>
        <v>92.311433708878226</v>
      </c>
      <c r="N74" s="194">
        <f t="shared" si="61"/>
        <v>7.6926194757398525</v>
      </c>
      <c r="O74" s="121">
        <v>9648.0709999999999</v>
      </c>
      <c r="P74" s="122">
        <f t="shared" si="63"/>
        <v>-2806.0699999999997</v>
      </c>
      <c r="Q74" s="123">
        <f t="shared" si="64"/>
        <v>70.915740566171209</v>
      </c>
    </row>
    <row r="75" spans="1:22" s="63" customFormat="1" ht="39" x14ac:dyDescent="0.3">
      <c r="A75" s="38" t="s">
        <v>116</v>
      </c>
      <c r="B75" s="102" t="s">
        <v>113</v>
      </c>
      <c r="C75" s="16" t="s">
        <v>114</v>
      </c>
      <c r="D75" s="125">
        <v>0</v>
      </c>
      <c r="E75" s="125">
        <v>0</v>
      </c>
      <c r="F75" s="121">
        <f t="shared" si="55"/>
        <v>2176.4189999999999</v>
      </c>
      <c r="G75" s="120">
        <v>2176.4189999999999</v>
      </c>
      <c r="H75" s="120">
        <v>0</v>
      </c>
      <c r="I75" s="120">
        <f t="shared" si="57"/>
        <v>2176.4189999999999</v>
      </c>
      <c r="J75" s="194"/>
      <c r="K75" s="120"/>
      <c r="L75" s="120">
        <f t="shared" si="59"/>
        <v>2176.4189999999999</v>
      </c>
      <c r="M75" s="194"/>
      <c r="N75" s="194"/>
      <c r="O75" s="121">
        <v>3216.5680000000002</v>
      </c>
      <c r="P75" s="122">
        <f t="shared" si="63"/>
        <v>-1040.1490000000003</v>
      </c>
      <c r="Q75" s="123">
        <f t="shared" si="64"/>
        <v>67.662769759569812</v>
      </c>
    </row>
    <row r="76" spans="1:22" s="60" customFormat="1" ht="23.25" x14ac:dyDescent="0.3">
      <c r="A76" s="23">
        <v>2</v>
      </c>
      <c r="B76" s="115" t="s">
        <v>32</v>
      </c>
      <c r="C76" s="24" t="s">
        <v>31</v>
      </c>
      <c r="D76" s="124">
        <v>3460</v>
      </c>
      <c r="E76" s="124">
        <v>3460</v>
      </c>
      <c r="F76" s="117">
        <f t="shared" si="55"/>
        <v>20.628</v>
      </c>
      <c r="G76" s="116">
        <v>20.628</v>
      </c>
      <c r="H76" s="116">
        <v>20.39</v>
      </c>
      <c r="I76" s="116">
        <f t="shared" si="57"/>
        <v>0.23799999999999955</v>
      </c>
      <c r="J76" s="193">
        <f t="shared" si="58"/>
        <v>101.16723884256989</v>
      </c>
      <c r="K76" s="116">
        <f t="shared" ref="K76:K77" si="65">E76/12*1</f>
        <v>288.33333333333331</v>
      </c>
      <c r="L76" s="116">
        <f t="shared" si="59"/>
        <v>-267.70533333333333</v>
      </c>
      <c r="M76" s="193">
        <f t="shared" si="60"/>
        <v>7.154219653179192</v>
      </c>
      <c r="N76" s="193">
        <f t="shared" si="61"/>
        <v>0.59618497109826585</v>
      </c>
      <c r="O76" s="117">
        <v>102.779</v>
      </c>
      <c r="P76" s="118">
        <f t="shared" si="63"/>
        <v>-82.150999999999996</v>
      </c>
      <c r="Q76" s="119">
        <f t="shared" si="64"/>
        <v>20.070247813269248</v>
      </c>
    </row>
    <row r="77" spans="1:22" s="60" customFormat="1" ht="78" x14ac:dyDescent="0.3">
      <c r="A77" s="23">
        <f>A76+1</f>
        <v>3</v>
      </c>
      <c r="B77" s="59" t="s">
        <v>26</v>
      </c>
      <c r="C77" s="24" t="s">
        <v>25</v>
      </c>
      <c r="D77" s="124">
        <v>50</v>
      </c>
      <c r="E77" s="124">
        <v>50</v>
      </c>
      <c r="F77" s="117">
        <f t="shared" si="55"/>
        <v>0</v>
      </c>
      <c r="G77" s="116">
        <v>0</v>
      </c>
      <c r="H77" s="116">
        <v>0</v>
      </c>
      <c r="I77" s="116">
        <f t="shared" si="57"/>
        <v>0</v>
      </c>
      <c r="J77" s="193"/>
      <c r="K77" s="116">
        <f t="shared" si="65"/>
        <v>4.166666666666667</v>
      </c>
      <c r="L77" s="116">
        <f t="shared" si="59"/>
        <v>-4.166666666666667</v>
      </c>
      <c r="M77" s="193">
        <f t="shared" si="60"/>
        <v>0</v>
      </c>
      <c r="N77" s="193">
        <f t="shared" si="61"/>
        <v>0</v>
      </c>
      <c r="O77" s="117">
        <v>14.689</v>
      </c>
      <c r="P77" s="118">
        <f t="shared" si="63"/>
        <v>-14.689</v>
      </c>
      <c r="Q77" s="119">
        <f t="shared" si="64"/>
        <v>0</v>
      </c>
    </row>
    <row r="78" spans="1:22" s="30" customFormat="1" ht="31.5" customHeight="1" x14ac:dyDescent="0.3">
      <c r="A78" s="11">
        <f t="shared" ref="A78" si="66">A77+1</f>
        <v>4</v>
      </c>
      <c r="B78" s="15" t="s">
        <v>10</v>
      </c>
      <c r="C78" s="8"/>
      <c r="D78" s="54">
        <f>SUM(D79:D81)</f>
        <v>110700</v>
      </c>
      <c r="E78" s="54">
        <f>SUM(E79:E81)</f>
        <v>110700</v>
      </c>
      <c r="F78" s="45">
        <f t="shared" si="55"/>
        <v>30538.786</v>
      </c>
      <c r="G78" s="54">
        <f>SUM(G79:G81)</f>
        <v>30538.786</v>
      </c>
      <c r="H78" s="54">
        <f>SUM(H79:H81)</f>
        <v>29000</v>
      </c>
      <c r="I78" s="54">
        <f t="shared" si="57"/>
        <v>1538.7860000000001</v>
      </c>
      <c r="J78" s="191">
        <f t="shared" si="58"/>
        <v>105.30615862068966</v>
      </c>
      <c r="K78" s="54">
        <f>SUM(K79:K81)</f>
        <v>9225</v>
      </c>
      <c r="L78" s="54">
        <f t="shared" si="59"/>
        <v>21313.786</v>
      </c>
      <c r="M78" s="191">
        <f t="shared" si="60"/>
        <v>331.04375067750675</v>
      </c>
      <c r="N78" s="191">
        <f t="shared" si="61"/>
        <v>27.586979223125564</v>
      </c>
      <c r="O78" s="45">
        <f>SUM(O79:O81)</f>
        <v>1553.5920000000001</v>
      </c>
      <c r="P78" s="92">
        <f t="shared" si="63"/>
        <v>28985.194</v>
      </c>
      <c r="Q78" s="93">
        <f t="shared" si="64"/>
        <v>1965.6889324867786</v>
      </c>
      <c r="R78" s="61"/>
    </row>
    <row r="79" spans="1:22" s="63" customFormat="1" ht="39" x14ac:dyDescent="0.3">
      <c r="A79" s="13" t="s">
        <v>142</v>
      </c>
      <c r="B79" s="102" t="s">
        <v>131</v>
      </c>
      <c r="C79" s="16" t="s">
        <v>45</v>
      </c>
      <c r="D79" s="125">
        <v>0</v>
      </c>
      <c r="E79" s="125">
        <v>0</v>
      </c>
      <c r="F79" s="121">
        <f t="shared" si="55"/>
        <v>48</v>
      </c>
      <c r="G79" s="120">
        <v>48</v>
      </c>
      <c r="H79" s="120">
        <v>0</v>
      </c>
      <c r="I79" s="120">
        <f t="shared" si="57"/>
        <v>48</v>
      </c>
      <c r="J79" s="194"/>
      <c r="K79" s="120">
        <f t="shared" ref="K79:K82" si="67">E79/12*1</f>
        <v>0</v>
      </c>
      <c r="L79" s="120">
        <f t="shared" si="59"/>
        <v>48</v>
      </c>
      <c r="M79" s="194"/>
      <c r="N79" s="194"/>
      <c r="O79" s="121">
        <v>505.08499999999998</v>
      </c>
      <c r="P79" s="122">
        <f t="shared" si="63"/>
        <v>-457.08499999999998</v>
      </c>
      <c r="Q79" s="123">
        <f t="shared" si="64"/>
        <v>9.5033509211320872</v>
      </c>
    </row>
    <row r="80" spans="1:22" s="63" customFormat="1" ht="39" x14ac:dyDescent="0.3">
      <c r="A80" s="13" t="s">
        <v>118</v>
      </c>
      <c r="B80" s="102" t="s">
        <v>37</v>
      </c>
      <c r="C80" s="16" t="s">
        <v>22</v>
      </c>
      <c r="D80" s="125">
        <v>14000</v>
      </c>
      <c r="E80" s="125">
        <v>14000</v>
      </c>
      <c r="F80" s="121">
        <f t="shared" si="55"/>
        <v>0</v>
      </c>
      <c r="G80" s="120">
        <v>0</v>
      </c>
      <c r="H80" s="120">
        <v>0</v>
      </c>
      <c r="I80" s="120">
        <f t="shared" si="57"/>
        <v>0</v>
      </c>
      <c r="J80" s="194"/>
      <c r="K80" s="120">
        <f t="shared" si="67"/>
        <v>1166.6666666666667</v>
      </c>
      <c r="L80" s="120">
        <f t="shared" si="59"/>
        <v>-1166.6666666666667</v>
      </c>
      <c r="M80" s="194">
        <f t="shared" si="60"/>
        <v>0</v>
      </c>
      <c r="N80" s="194">
        <f t="shared" si="61"/>
        <v>0</v>
      </c>
      <c r="O80" s="121">
        <v>0</v>
      </c>
      <c r="P80" s="122">
        <f t="shared" si="63"/>
        <v>0</v>
      </c>
      <c r="Q80" s="123"/>
    </row>
    <row r="81" spans="1:19" s="62" customFormat="1" ht="33" customHeight="1" x14ac:dyDescent="0.3">
      <c r="A81" s="13" t="s">
        <v>119</v>
      </c>
      <c r="B81" s="41" t="s">
        <v>67</v>
      </c>
      <c r="C81" s="16" t="s">
        <v>43</v>
      </c>
      <c r="D81" s="125">
        <v>96700</v>
      </c>
      <c r="E81" s="125">
        <v>96700</v>
      </c>
      <c r="F81" s="128">
        <f t="shared" si="55"/>
        <v>30490.786</v>
      </c>
      <c r="G81" s="125">
        <v>30490.786</v>
      </c>
      <c r="H81" s="125">
        <v>29000</v>
      </c>
      <c r="I81" s="125">
        <f t="shared" si="57"/>
        <v>1490.7860000000001</v>
      </c>
      <c r="J81" s="198">
        <f t="shared" si="58"/>
        <v>105.14064137931034</v>
      </c>
      <c r="K81" s="125">
        <f t="shared" si="67"/>
        <v>8058.333333333333</v>
      </c>
      <c r="L81" s="125">
        <f t="shared" si="59"/>
        <v>22432.452666666668</v>
      </c>
      <c r="M81" s="198">
        <f t="shared" si="60"/>
        <v>378.37583453981387</v>
      </c>
      <c r="N81" s="198">
        <f t="shared" si="61"/>
        <v>31.531319544984488</v>
      </c>
      <c r="O81" s="128">
        <v>1048.5070000000001</v>
      </c>
      <c r="P81" s="122">
        <f t="shared" si="63"/>
        <v>29442.278999999999</v>
      </c>
      <c r="Q81" s="123">
        <f>F81/O81*100</f>
        <v>2908.0193074533595</v>
      </c>
    </row>
    <row r="82" spans="1:19" s="60" customFormat="1" ht="39" x14ac:dyDescent="0.3">
      <c r="A82" s="23">
        <v>5</v>
      </c>
      <c r="B82" s="115" t="s">
        <v>11</v>
      </c>
      <c r="C82" s="24" t="s">
        <v>23</v>
      </c>
      <c r="D82" s="124">
        <v>10220.1</v>
      </c>
      <c r="E82" s="124">
        <v>10220.1</v>
      </c>
      <c r="F82" s="117">
        <f t="shared" si="55"/>
        <v>885.63300000000004</v>
      </c>
      <c r="G82" s="116">
        <v>885.63300000000004</v>
      </c>
      <c r="H82" s="116">
        <v>815</v>
      </c>
      <c r="I82" s="116">
        <f t="shared" si="57"/>
        <v>70.633000000000038</v>
      </c>
      <c r="J82" s="193">
        <f t="shared" si="58"/>
        <v>108.66662576687116</v>
      </c>
      <c r="K82" s="116">
        <f t="shared" si="67"/>
        <v>851.67500000000007</v>
      </c>
      <c r="L82" s="116">
        <f t="shared" si="59"/>
        <v>33.95799999999997</v>
      </c>
      <c r="M82" s="193">
        <f t="shared" si="60"/>
        <v>103.9872016907858</v>
      </c>
      <c r="N82" s="193">
        <f t="shared" si="61"/>
        <v>8.6656001408988175</v>
      </c>
      <c r="O82" s="117">
        <v>1846.4469999999999</v>
      </c>
      <c r="P82" s="118">
        <f t="shared" si="63"/>
        <v>-960.81399999999985</v>
      </c>
      <c r="Q82" s="119">
        <f>F82/O82*100</f>
        <v>47.964171189316566</v>
      </c>
    </row>
    <row r="83" spans="1:19" s="50" customFormat="1" ht="39" customHeight="1" x14ac:dyDescent="0.3">
      <c r="A83" s="48"/>
      <c r="B83" s="85" t="s">
        <v>163</v>
      </c>
      <c r="C83" s="49"/>
      <c r="D83" s="45">
        <f>D73+D76+D77+D79+D80+D81+D82</f>
        <v>213372.508</v>
      </c>
      <c r="E83" s="45">
        <f>E73+E76+E77+E79+E80+E81+E82</f>
        <v>213372.508</v>
      </c>
      <c r="F83" s="45">
        <f t="shared" si="55"/>
        <v>40463.467000000004</v>
      </c>
      <c r="G83" s="45">
        <f>G73+G76+G77+G79+G80+G81+G82</f>
        <v>40463.467000000004</v>
      </c>
      <c r="H83" s="45">
        <f>H73+H76+H77+H79+H80+H81+H82</f>
        <v>37247.256999999998</v>
      </c>
      <c r="I83" s="45">
        <f t="shared" si="57"/>
        <v>3216.2100000000064</v>
      </c>
      <c r="J83" s="196">
        <f t="shared" si="58"/>
        <v>108.63475664798621</v>
      </c>
      <c r="K83" s="45">
        <f>K73+K76+K77+K79+K80+K81+K82</f>
        <v>17781.042333333331</v>
      </c>
      <c r="L83" s="45">
        <f t="shared" si="59"/>
        <v>22682.424666666673</v>
      </c>
      <c r="M83" s="196">
        <f t="shared" si="60"/>
        <v>227.56521379033524</v>
      </c>
      <c r="N83" s="196">
        <f t="shared" si="61"/>
        <v>18.963767815861267</v>
      </c>
      <c r="O83" s="45">
        <f>O73+O76+O77+O79+O80+O81+O82</f>
        <v>16382.145999999999</v>
      </c>
      <c r="P83" s="87">
        <f t="shared" si="63"/>
        <v>24081.321000000004</v>
      </c>
      <c r="Q83" s="88">
        <f>F83/O83*100</f>
        <v>246.99735309403303</v>
      </c>
    </row>
    <row r="84" spans="1:19" s="66" customFormat="1" ht="22.5" x14ac:dyDescent="0.3">
      <c r="A84" s="65"/>
      <c r="B84" s="91"/>
      <c r="C84" s="53"/>
      <c r="D84" s="54"/>
      <c r="E84" s="54"/>
      <c r="F84" s="45"/>
      <c r="G84" s="54"/>
      <c r="H84" s="54"/>
      <c r="I84" s="54"/>
      <c r="J84" s="191"/>
      <c r="K84" s="54"/>
      <c r="L84" s="54"/>
      <c r="M84" s="191"/>
      <c r="N84" s="191"/>
      <c r="O84" s="45"/>
      <c r="P84" s="92"/>
      <c r="Q84" s="93"/>
    </row>
    <row r="85" spans="1:19" s="66" customFormat="1" ht="67.5" x14ac:dyDescent="0.3">
      <c r="A85" s="65"/>
      <c r="B85" s="91" t="s">
        <v>164</v>
      </c>
      <c r="C85" s="53"/>
      <c r="D85" s="54">
        <f>D83-D73</f>
        <v>124430.1</v>
      </c>
      <c r="E85" s="54">
        <f>E83-E73</f>
        <v>124430.1</v>
      </c>
      <c r="F85" s="45">
        <f t="shared" ref="F85:F92" si="68">SUM(G85:G85)</f>
        <v>31445.047000000006</v>
      </c>
      <c r="G85" s="54">
        <f>G83-G73</f>
        <v>31445.047000000006</v>
      </c>
      <c r="H85" s="54">
        <f>H83-H73</f>
        <v>29835.39</v>
      </c>
      <c r="I85" s="54">
        <f t="shared" si="57"/>
        <v>1609.6570000000065</v>
      </c>
      <c r="J85" s="191">
        <f t="shared" si="58"/>
        <v>105.39512639184541</v>
      </c>
      <c r="K85" s="54">
        <f>K83-K73</f>
        <v>10369.174999999999</v>
      </c>
      <c r="L85" s="54">
        <f t="shared" si="59"/>
        <v>21075.872000000007</v>
      </c>
      <c r="M85" s="191">
        <f t="shared" si="60"/>
        <v>303.25505163139798</v>
      </c>
      <c r="N85" s="191">
        <f t="shared" si="61"/>
        <v>25.271254302616491</v>
      </c>
      <c r="O85" s="45">
        <f>O83-O73</f>
        <v>3517.5069999999996</v>
      </c>
      <c r="P85" s="92">
        <f>F85-O85</f>
        <v>27927.540000000008</v>
      </c>
      <c r="Q85" s="93">
        <f>F85/O85*100</f>
        <v>893.95833469556737</v>
      </c>
    </row>
    <row r="86" spans="1:19" s="26" customFormat="1" ht="117" x14ac:dyDescent="0.25">
      <c r="A86" s="23">
        <v>1</v>
      </c>
      <c r="B86" s="59" t="s">
        <v>157</v>
      </c>
      <c r="C86" s="24" t="s">
        <v>71</v>
      </c>
      <c r="D86" s="124">
        <v>17390</v>
      </c>
      <c r="E86" s="124">
        <v>17390</v>
      </c>
      <c r="F86" s="129">
        <f t="shared" si="68"/>
        <v>0</v>
      </c>
      <c r="G86" s="124">
        <v>0</v>
      </c>
      <c r="H86" s="124">
        <v>17390</v>
      </c>
      <c r="I86" s="124">
        <f t="shared" si="57"/>
        <v>-17390</v>
      </c>
      <c r="J86" s="130">
        <f t="shared" si="58"/>
        <v>0</v>
      </c>
      <c r="K86" s="124">
        <f>H86</f>
        <v>17390</v>
      </c>
      <c r="L86" s="124">
        <f t="shared" si="59"/>
        <v>-17390</v>
      </c>
      <c r="M86" s="130">
        <f t="shared" si="60"/>
        <v>0</v>
      </c>
      <c r="N86" s="130">
        <f t="shared" si="61"/>
        <v>0</v>
      </c>
      <c r="O86" s="129">
        <v>0</v>
      </c>
      <c r="P86" s="118">
        <f>F86-O86</f>
        <v>0</v>
      </c>
      <c r="Q86" s="119"/>
    </row>
    <row r="87" spans="1:19" s="26" customFormat="1" ht="58.5" x14ac:dyDescent="0.25">
      <c r="A87" s="23">
        <v>2</v>
      </c>
      <c r="B87" s="59" t="s">
        <v>175</v>
      </c>
      <c r="C87" s="24" t="s">
        <v>176</v>
      </c>
      <c r="D87" s="124"/>
      <c r="E87" s="124">
        <v>24369.562000000002</v>
      </c>
      <c r="F87" s="129">
        <f t="shared" si="68"/>
        <v>24369.562000000002</v>
      </c>
      <c r="G87" s="124">
        <v>24369.562000000002</v>
      </c>
      <c r="H87" s="124">
        <v>24369.562000000002</v>
      </c>
      <c r="I87" s="124">
        <f t="shared" si="57"/>
        <v>0</v>
      </c>
      <c r="J87" s="130">
        <f t="shared" si="58"/>
        <v>100</v>
      </c>
      <c r="K87" s="124">
        <f>H87</f>
        <v>24369.562000000002</v>
      </c>
      <c r="L87" s="124">
        <f t="shared" si="59"/>
        <v>0</v>
      </c>
      <c r="M87" s="130">
        <f t="shared" si="60"/>
        <v>100</v>
      </c>
      <c r="N87" s="130">
        <f t="shared" si="61"/>
        <v>100</v>
      </c>
      <c r="O87" s="129"/>
      <c r="P87" s="118">
        <f>F87-O87</f>
        <v>24369.562000000002</v>
      </c>
      <c r="Q87" s="119"/>
    </row>
    <row r="88" spans="1:19" s="46" customFormat="1" ht="31.5" customHeight="1" x14ac:dyDescent="0.3">
      <c r="A88" s="43"/>
      <c r="B88" s="47" t="s">
        <v>27</v>
      </c>
      <c r="C88" s="49"/>
      <c r="D88" s="45">
        <f>D89+D92</f>
        <v>17390</v>
      </c>
      <c r="E88" s="45">
        <f>E89+E92</f>
        <v>41759.562000000005</v>
      </c>
      <c r="F88" s="45">
        <f t="shared" si="68"/>
        <v>24369.562000000002</v>
      </c>
      <c r="G88" s="45">
        <f>G89+G92</f>
        <v>24369.562000000002</v>
      </c>
      <c r="H88" s="45">
        <f>H89+H92</f>
        <v>41759.562000000005</v>
      </c>
      <c r="I88" s="45">
        <f t="shared" si="57"/>
        <v>-17390.000000000004</v>
      </c>
      <c r="J88" s="196">
        <f t="shared" si="58"/>
        <v>58.356842918994211</v>
      </c>
      <c r="K88" s="45">
        <f>K89+K92</f>
        <v>41759.562000000005</v>
      </c>
      <c r="L88" s="45">
        <f t="shared" si="59"/>
        <v>-17390.000000000004</v>
      </c>
      <c r="M88" s="196">
        <f t="shared" si="60"/>
        <v>58.356842918994211</v>
      </c>
      <c r="N88" s="196">
        <f t="shared" si="61"/>
        <v>58.356842918994211</v>
      </c>
      <c r="O88" s="45">
        <f>O89+O92</f>
        <v>0</v>
      </c>
      <c r="P88" s="87">
        <f>F88-O88</f>
        <v>24369.562000000002</v>
      </c>
      <c r="Q88" s="88"/>
    </row>
    <row r="89" spans="1:19" s="192" customFormat="1" ht="36" customHeight="1" x14ac:dyDescent="0.25">
      <c r="A89" s="33"/>
      <c r="B89" s="190" t="s">
        <v>72</v>
      </c>
      <c r="C89" s="25"/>
      <c r="D89" s="54">
        <f>D90+D91</f>
        <v>17390</v>
      </c>
      <c r="E89" s="54">
        <f>E90+E91</f>
        <v>17390</v>
      </c>
      <c r="F89" s="45">
        <f t="shared" si="68"/>
        <v>0</v>
      </c>
      <c r="G89" s="54">
        <f>G90+G91</f>
        <v>0</v>
      </c>
      <c r="H89" s="54">
        <f>H90+H91</f>
        <v>17390</v>
      </c>
      <c r="I89" s="54">
        <f t="shared" si="57"/>
        <v>-17390</v>
      </c>
      <c r="J89" s="191">
        <f t="shared" si="58"/>
        <v>0</v>
      </c>
      <c r="K89" s="54">
        <f>K90+K91</f>
        <v>17390</v>
      </c>
      <c r="L89" s="54">
        <f t="shared" si="59"/>
        <v>-17390</v>
      </c>
      <c r="M89" s="191">
        <f t="shared" si="60"/>
        <v>0</v>
      </c>
      <c r="N89" s="191">
        <f t="shared" si="61"/>
        <v>0</v>
      </c>
      <c r="O89" s="45">
        <f>O90+O91</f>
        <v>0</v>
      </c>
      <c r="P89" s="92"/>
      <c r="Q89" s="93"/>
    </row>
    <row r="90" spans="1:19" s="7" customFormat="1" ht="31.5" customHeight="1" x14ac:dyDescent="0.25">
      <c r="A90" s="13"/>
      <c r="B90" s="16" t="s">
        <v>100</v>
      </c>
      <c r="C90" s="16"/>
      <c r="D90" s="125">
        <f>D86</f>
        <v>17390</v>
      </c>
      <c r="E90" s="125">
        <f>E86</f>
        <v>17390</v>
      </c>
      <c r="F90" s="128">
        <f t="shared" si="68"/>
        <v>0</v>
      </c>
      <c r="G90" s="125">
        <f>G86</f>
        <v>0</v>
      </c>
      <c r="H90" s="125">
        <f>H86</f>
        <v>17390</v>
      </c>
      <c r="I90" s="125">
        <f t="shared" si="57"/>
        <v>-17390</v>
      </c>
      <c r="J90" s="198">
        <f t="shared" si="58"/>
        <v>0</v>
      </c>
      <c r="K90" s="125">
        <f>K86</f>
        <v>17390</v>
      </c>
      <c r="L90" s="125">
        <f t="shared" si="59"/>
        <v>-17390</v>
      </c>
      <c r="M90" s="198">
        <f t="shared" si="60"/>
        <v>0</v>
      </c>
      <c r="N90" s="198">
        <f t="shared" si="61"/>
        <v>0</v>
      </c>
      <c r="O90" s="128">
        <f>O86</f>
        <v>0</v>
      </c>
      <c r="P90" s="122">
        <f>F90-O90</f>
        <v>0</v>
      </c>
      <c r="Q90" s="123"/>
    </row>
    <row r="91" spans="1:19" s="7" customFormat="1" ht="31.5" customHeight="1" x14ac:dyDescent="0.25">
      <c r="A91" s="13"/>
      <c r="B91" s="177" t="s">
        <v>99</v>
      </c>
      <c r="C91" s="16"/>
      <c r="D91" s="125"/>
      <c r="E91" s="125"/>
      <c r="F91" s="128">
        <f t="shared" si="68"/>
        <v>0</v>
      </c>
      <c r="G91" s="125"/>
      <c r="H91" s="125"/>
      <c r="I91" s="125">
        <f t="shared" si="57"/>
        <v>0</v>
      </c>
      <c r="J91" s="198"/>
      <c r="K91" s="125"/>
      <c r="L91" s="125">
        <f t="shared" si="59"/>
        <v>0</v>
      </c>
      <c r="M91" s="198"/>
      <c r="N91" s="198"/>
      <c r="O91" s="128">
        <v>0</v>
      </c>
      <c r="P91" s="122">
        <f>F91-O91</f>
        <v>0</v>
      </c>
      <c r="Q91" s="123"/>
    </row>
    <row r="92" spans="1:19" s="192" customFormat="1" ht="58.5" x14ac:dyDescent="0.25">
      <c r="A92" s="33"/>
      <c r="B92" s="190" t="s">
        <v>177</v>
      </c>
      <c r="C92" s="25"/>
      <c r="D92" s="54">
        <f>D87</f>
        <v>0</v>
      </c>
      <c r="E92" s="54">
        <f>E87</f>
        <v>24369.562000000002</v>
      </c>
      <c r="F92" s="45">
        <f t="shared" si="68"/>
        <v>24369.562000000002</v>
      </c>
      <c r="G92" s="54">
        <v>24369.562000000002</v>
      </c>
      <c r="H92" s="54">
        <f>H87</f>
        <v>24369.562000000002</v>
      </c>
      <c r="I92" s="54">
        <f t="shared" si="57"/>
        <v>0</v>
      </c>
      <c r="J92" s="191">
        <f t="shared" si="58"/>
        <v>100</v>
      </c>
      <c r="K92" s="54">
        <f>K87</f>
        <v>24369.562000000002</v>
      </c>
      <c r="L92" s="54">
        <f t="shared" si="59"/>
        <v>0</v>
      </c>
      <c r="M92" s="191">
        <f t="shared" si="60"/>
        <v>100</v>
      </c>
      <c r="N92" s="191">
        <f t="shared" si="61"/>
        <v>100</v>
      </c>
      <c r="O92" s="45"/>
      <c r="P92" s="92">
        <f>F92-O92</f>
        <v>24369.562000000002</v>
      </c>
      <c r="Q92" s="93"/>
    </row>
    <row r="93" spans="1:19" s="192" customFormat="1" ht="22.5" x14ac:dyDescent="0.25">
      <c r="A93" s="33"/>
      <c r="B93" s="190"/>
      <c r="C93" s="25"/>
      <c r="D93" s="54"/>
      <c r="E93" s="54"/>
      <c r="F93" s="45"/>
      <c r="G93" s="54"/>
      <c r="H93" s="54"/>
      <c r="I93" s="54"/>
      <c r="J93" s="191"/>
      <c r="K93" s="54"/>
      <c r="L93" s="54"/>
      <c r="M93" s="191"/>
      <c r="N93" s="191"/>
      <c r="O93" s="45"/>
      <c r="P93" s="92"/>
      <c r="Q93" s="93"/>
    </row>
    <row r="94" spans="1:19" s="153" customFormat="1" ht="46.5" x14ac:dyDescent="0.3">
      <c r="A94" s="146"/>
      <c r="B94" s="147" t="s">
        <v>42</v>
      </c>
      <c r="C94" s="154"/>
      <c r="D94" s="149">
        <f>D83+D88</f>
        <v>230762.508</v>
      </c>
      <c r="E94" s="149">
        <f>E83+E88</f>
        <v>255132.07</v>
      </c>
      <c r="F94" s="149">
        <f>SUM(G94:G94)</f>
        <v>64833.02900000001</v>
      </c>
      <c r="G94" s="149">
        <f>G83+G88</f>
        <v>64833.02900000001</v>
      </c>
      <c r="H94" s="149">
        <f>H83+H88</f>
        <v>79006.819000000003</v>
      </c>
      <c r="I94" s="149">
        <f t="shared" si="57"/>
        <v>-14173.789999999994</v>
      </c>
      <c r="J94" s="199">
        <f t="shared" si="58"/>
        <v>82.060042184460059</v>
      </c>
      <c r="K94" s="149">
        <f>K83+K88</f>
        <v>59540.604333333336</v>
      </c>
      <c r="L94" s="149">
        <f t="shared" si="59"/>
        <v>5292.4246666666731</v>
      </c>
      <c r="M94" s="199">
        <f t="shared" si="60"/>
        <v>108.88876544993977</v>
      </c>
      <c r="N94" s="199">
        <f t="shared" si="61"/>
        <v>25.411556061925104</v>
      </c>
      <c r="O94" s="149">
        <f>O83+O88</f>
        <v>16382.145999999999</v>
      </c>
      <c r="P94" s="150">
        <f>F94-O94</f>
        <v>48450.883000000009</v>
      </c>
      <c r="Q94" s="151">
        <f>F94/O94*100</f>
        <v>395.7541887369336</v>
      </c>
      <c r="R94" s="149">
        <v>16382.145999999999</v>
      </c>
      <c r="S94" s="149">
        <f>R94-O94</f>
        <v>0</v>
      </c>
    </row>
    <row r="95" spans="1:19" s="55" customFormat="1" ht="22.5" x14ac:dyDescent="0.3">
      <c r="A95" s="51"/>
      <c r="B95" s="52"/>
      <c r="C95" s="53"/>
      <c r="D95" s="54"/>
      <c r="E95" s="54"/>
      <c r="F95" s="45"/>
      <c r="G95" s="54"/>
      <c r="H95" s="54"/>
      <c r="I95" s="54"/>
      <c r="J95" s="191"/>
      <c r="K95" s="54"/>
      <c r="L95" s="54"/>
      <c r="M95" s="191"/>
      <c r="N95" s="191"/>
      <c r="O95" s="45"/>
      <c r="P95" s="92"/>
      <c r="Q95" s="93"/>
    </row>
    <row r="96" spans="1:19" s="161" customFormat="1" ht="93" x14ac:dyDescent="0.3">
      <c r="A96" s="155"/>
      <c r="B96" s="156" t="s">
        <v>65</v>
      </c>
      <c r="C96" s="157"/>
      <c r="D96" s="158">
        <f>D94-D73</f>
        <v>141820.1</v>
      </c>
      <c r="E96" s="158">
        <f>E94-E73</f>
        <v>166189.66200000001</v>
      </c>
      <c r="F96" s="149">
        <f>SUM(G96:G96)</f>
        <v>55814.609000000011</v>
      </c>
      <c r="G96" s="158">
        <f>G94-G73</f>
        <v>55814.609000000011</v>
      </c>
      <c r="H96" s="158">
        <f>H94-H73</f>
        <v>71594.952000000005</v>
      </c>
      <c r="I96" s="158">
        <f t="shared" si="57"/>
        <v>-15780.342999999993</v>
      </c>
      <c r="J96" s="200">
        <f t="shared" si="58"/>
        <v>77.958860842591264</v>
      </c>
      <c r="K96" s="158">
        <f>K94-K73</f>
        <v>52128.737000000001</v>
      </c>
      <c r="L96" s="158">
        <f t="shared" si="59"/>
        <v>3685.8720000000103</v>
      </c>
      <c r="M96" s="200">
        <f t="shared" si="60"/>
        <v>107.0707103454281</v>
      </c>
      <c r="N96" s="200">
        <f t="shared" si="61"/>
        <v>33.584886284924274</v>
      </c>
      <c r="O96" s="149">
        <f>O94-O73</f>
        <v>3517.5069999999996</v>
      </c>
      <c r="P96" s="159">
        <f>F96-O96</f>
        <v>52297.102000000014</v>
      </c>
      <c r="Q96" s="160">
        <f>F96/O96*100</f>
        <v>1586.766110202482</v>
      </c>
    </row>
    <row r="97" spans="1:18" s="12" customFormat="1" ht="26.25" customHeight="1" x14ac:dyDescent="0.25">
      <c r="A97" s="253" t="s">
        <v>41</v>
      </c>
      <c r="B97" s="254"/>
      <c r="C97" s="254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5"/>
    </row>
    <row r="98" spans="1:18" s="153" customFormat="1" ht="36" customHeight="1" x14ac:dyDescent="0.3">
      <c r="A98" s="162"/>
      <c r="B98" s="147" t="s">
        <v>166</v>
      </c>
      <c r="C98" s="154"/>
      <c r="D98" s="149">
        <f>D52+D83</f>
        <v>5433122.8850000007</v>
      </c>
      <c r="E98" s="149">
        <f>E52+E83</f>
        <v>5433122.8850000007</v>
      </c>
      <c r="F98" s="149">
        <f>SUM(G98:G98)</f>
        <v>467209.30700000009</v>
      </c>
      <c r="G98" s="149">
        <f>G52+G83</f>
        <v>467209.30700000009</v>
      </c>
      <c r="H98" s="149">
        <f>H52+H83</f>
        <v>410641.04599999997</v>
      </c>
      <c r="I98" s="149">
        <f t="shared" ref="I98:I115" si="69">F98-H98</f>
        <v>56568.261000000115</v>
      </c>
      <c r="J98" s="199">
        <f t="shared" ref="J98:J113" si="70">F98/H98*100</f>
        <v>113.77559831171872</v>
      </c>
      <c r="K98" s="149">
        <f>K52+K83</f>
        <v>452760.24041666667</v>
      </c>
      <c r="L98" s="149">
        <f t="shared" ref="L98:L115" si="71">F98-K98</f>
        <v>14449.066583333421</v>
      </c>
      <c r="M98" s="199">
        <f t="shared" ref="M98:M113" si="72">F98/K98*100</f>
        <v>103.19132849872955</v>
      </c>
      <c r="N98" s="199">
        <f t="shared" ref="N98:N115" si="73">F98/E98*100</f>
        <v>8.5992773748941271</v>
      </c>
      <c r="O98" s="149">
        <f>O52+O83</f>
        <v>425834.97299999988</v>
      </c>
      <c r="P98" s="150">
        <f>F98-O98</f>
        <v>41374.334000000206</v>
      </c>
      <c r="Q98" s="151">
        <f>F98/O98*100</f>
        <v>109.71604885068945</v>
      </c>
    </row>
    <row r="99" spans="1:18" s="161" customFormat="1" ht="23.25" x14ac:dyDescent="0.3">
      <c r="A99" s="163"/>
      <c r="B99" s="164"/>
      <c r="C99" s="157"/>
      <c r="D99" s="158"/>
      <c r="E99" s="158"/>
      <c r="F99" s="149"/>
      <c r="G99" s="158"/>
      <c r="H99" s="158"/>
      <c r="I99" s="158"/>
      <c r="J99" s="200"/>
      <c r="K99" s="158"/>
      <c r="L99" s="158"/>
      <c r="M99" s="200"/>
      <c r="N99" s="200"/>
      <c r="O99" s="149"/>
      <c r="P99" s="159"/>
      <c r="Q99" s="160"/>
    </row>
    <row r="100" spans="1:18" s="161" customFormat="1" ht="69.75" x14ac:dyDescent="0.3">
      <c r="A100" s="163"/>
      <c r="B100" s="156" t="s">
        <v>64</v>
      </c>
      <c r="C100" s="157"/>
      <c r="D100" s="158">
        <f>D52+D85</f>
        <v>5344180.477</v>
      </c>
      <c r="E100" s="158">
        <f>E52+E85</f>
        <v>5344180.477</v>
      </c>
      <c r="F100" s="149">
        <f>SUM(G100:G100)</f>
        <v>458190.8870000001</v>
      </c>
      <c r="G100" s="158">
        <f>G52+G85</f>
        <v>458190.8870000001</v>
      </c>
      <c r="H100" s="158">
        <f>H52+H85</f>
        <v>403229.179</v>
      </c>
      <c r="I100" s="158">
        <f t="shared" si="69"/>
        <v>54961.708000000101</v>
      </c>
      <c r="J100" s="200">
        <f>F100/H100*100</f>
        <v>113.63038958051202</v>
      </c>
      <c r="K100" s="158">
        <f>K52+K85</f>
        <v>445348.37308333331</v>
      </c>
      <c r="L100" s="158">
        <f t="shared" si="71"/>
        <v>12842.513916666794</v>
      </c>
      <c r="M100" s="200">
        <f t="shared" si="72"/>
        <v>102.88370064714792</v>
      </c>
      <c r="N100" s="200">
        <f t="shared" si="73"/>
        <v>8.5736417205956599</v>
      </c>
      <c r="O100" s="149">
        <f>O52+O85</f>
        <v>412970.33399999986</v>
      </c>
      <c r="P100" s="159">
        <f>F100-O100</f>
        <v>45220.553000000247</v>
      </c>
      <c r="Q100" s="160">
        <f>F100/O100*100</f>
        <v>110.95007298998874</v>
      </c>
    </row>
    <row r="101" spans="1:18" s="30" customFormat="1" ht="22.5" x14ac:dyDescent="0.3">
      <c r="A101" s="182"/>
      <c r="B101" s="15"/>
      <c r="C101" s="25"/>
      <c r="D101" s="54"/>
      <c r="E101" s="54"/>
      <c r="F101" s="45"/>
      <c r="G101" s="54"/>
      <c r="H101" s="54"/>
      <c r="I101" s="54"/>
      <c r="J101" s="191"/>
      <c r="K101" s="54"/>
      <c r="L101" s="54"/>
      <c r="M101" s="191"/>
      <c r="N101" s="191"/>
      <c r="O101" s="45"/>
      <c r="P101" s="92"/>
      <c r="Q101" s="93"/>
    </row>
    <row r="102" spans="1:18" s="30" customFormat="1" ht="81" x14ac:dyDescent="0.3">
      <c r="A102" s="182"/>
      <c r="B102" s="165" t="s">
        <v>167</v>
      </c>
      <c r="C102" s="25"/>
      <c r="D102" s="166">
        <f>D100+D54+D104</f>
        <v>6223266.5769999996</v>
      </c>
      <c r="E102" s="166">
        <f>E100+E54+E104</f>
        <v>6223266.5769999996</v>
      </c>
      <c r="F102" s="167">
        <f>SUM(G102:G102)</f>
        <v>521999.28700000013</v>
      </c>
      <c r="G102" s="166">
        <f>G100+G54+G104</f>
        <v>521999.28700000013</v>
      </c>
      <c r="H102" s="166">
        <f>H100+H54+H104</f>
        <v>467037.57900000003</v>
      </c>
      <c r="I102" s="166">
        <f t="shared" si="69"/>
        <v>54961.708000000101</v>
      </c>
      <c r="J102" s="201">
        <f t="shared" si="70"/>
        <v>111.76815538434437</v>
      </c>
      <c r="K102" s="166">
        <f>K100+K54+K104</f>
        <v>509156.77308333333</v>
      </c>
      <c r="L102" s="166">
        <f t="shared" si="71"/>
        <v>12842.513916666794</v>
      </c>
      <c r="M102" s="201">
        <f t="shared" si="72"/>
        <v>102.5223103365385</v>
      </c>
      <c r="N102" s="201">
        <f t="shared" si="73"/>
        <v>8.3878664129415483</v>
      </c>
      <c r="O102" s="167">
        <f>O100+O54+O104</f>
        <v>438690.73399999988</v>
      </c>
      <c r="P102" s="168">
        <f>F102-O102</f>
        <v>83308.553000000247</v>
      </c>
      <c r="Q102" s="169">
        <f>F102/O102*100</f>
        <v>118.99026957793011</v>
      </c>
      <c r="R102" s="61"/>
    </row>
    <row r="103" spans="1:18" s="30" customFormat="1" ht="22.5" x14ac:dyDescent="0.3">
      <c r="A103" s="182"/>
      <c r="B103" s="15"/>
      <c r="C103" s="25"/>
      <c r="D103" s="54"/>
      <c r="E103" s="54"/>
      <c r="F103" s="45"/>
      <c r="G103" s="54"/>
      <c r="H103" s="54"/>
      <c r="I103" s="54"/>
      <c r="J103" s="191"/>
      <c r="K103" s="54"/>
      <c r="L103" s="54"/>
      <c r="M103" s="191"/>
      <c r="N103" s="191"/>
      <c r="O103" s="45"/>
      <c r="P103" s="92"/>
      <c r="Q103" s="93"/>
    </row>
    <row r="104" spans="1:18" s="30" customFormat="1" ht="35.25" customHeight="1" x14ac:dyDescent="0.3">
      <c r="A104" s="182"/>
      <c r="B104" s="165" t="s">
        <v>68</v>
      </c>
      <c r="C104" s="25"/>
      <c r="D104" s="166"/>
      <c r="E104" s="166"/>
      <c r="F104" s="167">
        <f>SUM(G104:G104)</f>
        <v>0</v>
      </c>
      <c r="G104" s="166">
        <v>0</v>
      </c>
      <c r="H104" s="166"/>
      <c r="I104" s="166">
        <f t="shared" si="69"/>
        <v>0</v>
      </c>
      <c r="J104" s="201"/>
      <c r="K104" s="166"/>
      <c r="L104" s="166">
        <f t="shared" si="71"/>
        <v>0</v>
      </c>
      <c r="M104" s="201"/>
      <c r="N104" s="201"/>
      <c r="O104" s="167">
        <v>-32382</v>
      </c>
      <c r="P104" s="168">
        <f>F104-O104</f>
        <v>32382</v>
      </c>
      <c r="Q104" s="169">
        <f>F104/O104*100</f>
        <v>0</v>
      </c>
    </row>
    <row r="105" spans="1:18" s="30" customFormat="1" ht="22.5" x14ac:dyDescent="0.3">
      <c r="A105" s="11"/>
      <c r="B105" s="15"/>
      <c r="C105" s="25"/>
      <c r="D105" s="54"/>
      <c r="E105" s="54"/>
      <c r="F105" s="45"/>
      <c r="G105" s="54"/>
      <c r="H105" s="54"/>
      <c r="I105" s="54"/>
      <c r="J105" s="191"/>
      <c r="K105" s="54"/>
      <c r="L105" s="54"/>
      <c r="M105" s="191"/>
      <c r="N105" s="191"/>
      <c r="O105" s="45"/>
      <c r="P105" s="92"/>
      <c r="Q105" s="93"/>
    </row>
    <row r="106" spans="1:18" s="46" customFormat="1" ht="32.25" customHeight="1" x14ac:dyDescent="0.3">
      <c r="A106" s="43"/>
      <c r="B106" s="47" t="s">
        <v>27</v>
      </c>
      <c r="C106" s="49"/>
      <c r="D106" s="45">
        <f>D107+D108+D109+D112</f>
        <v>921893.46699999995</v>
      </c>
      <c r="E106" s="45">
        <f>E107+E108+E109+E112</f>
        <v>946263.02899999998</v>
      </c>
      <c r="F106" s="45">
        <f t="shared" ref="F106:F113" si="74">SUM(G106:G106)</f>
        <v>89879.024000000005</v>
      </c>
      <c r="G106" s="45">
        <f>G107+G108+G109+G112</f>
        <v>89879.024000000005</v>
      </c>
      <c r="H106" s="45">
        <f>H107+H108+H109+H112</f>
        <v>107340.825</v>
      </c>
      <c r="I106" s="45">
        <f t="shared" si="69"/>
        <v>-17461.800999999992</v>
      </c>
      <c r="J106" s="196">
        <f t="shared" si="70"/>
        <v>83.732376754138045</v>
      </c>
      <c r="K106" s="45">
        <f>K107+K108+K109+K112</f>
        <v>107340.825</v>
      </c>
      <c r="L106" s="45">
        <f t="shared" si="71"/>
        <v>-17461.800999999992</v>
      </c>
      <c r="M106" s="196">
        <f t="shared" si="72"/>
        <v>83.732376754138045</v>
      </c>
      <c r="N106" s="196">
        <f t="shared" si="73"/>
        <v>9.4983129685393219</v>
      </c>
      <c r="O106" s="45">
        <f>O107+O108+O109+O112</f>
        <v>59687.450000000004</v>
      </c>
      <c r="P106" s="87">
        <f t="shared" ref="P106:P113" si="75">F106-O106</f>
        <v>30191.574000000001</v>
      </c>
      <c r="Q106" s="88">
        <f>F106/O106*100</f>
        <v>150.58278415311761</v>
      </c>
    </row>
    <row r="107" spans="1:18" s="55" customFormat="1" ht="22.5" hidden="1" x14ac:dyDescent="0.3">
      <c r="A107" s="170"/>
      <c r="B107" s="165" t="s">
        <v>149</v>
      </c>
      <c r="C107" s="53"/>
      <c r="D107" s="54">
        <f>D64</f>
        <v>0</v>
      </c>
      <c r="E107" s="54">
        <f>E64</f>
        <v>0</v>
      </c>
      <c r="F107" s="45">
        <f t="shared" si="74"/>
        <v>0</v>
      </c>
      <c r="G107" s="54">
        <f>G64</f>
        <v>0</v>
      </c>
      <c r="H107" s="54">
        <f>H64</f>
        <v>0</v>
      </c>
      <c r="I107" s="54">
        <f t="shared" si="69"/>
        <v>0</v>
      </c>
      <c r="J107" s="191"/>
      <c r="K107" s="54">
        <f>K64</f>
        <v>0</v>
      </c>
      <c r="L107" s="54">
        <f t="shared" si="71"/>
        <v>0</v>
      </c>
      <c r="M107" s="191"/>
      <c r="N107" s="191"/>
      <c r="O107" s="45">
        <f>O64</f>
        <v>0</v>
      </c>
      <c r="P107" s="92">
        <f t="shared" si="75"/>
        <v>0</v>
      </c>
      <c r="Q107" s="93"/>
    </row>
    <row r="108" spans="1:18" s="55" customFormat="1" ht="40.5" hidden="1" x14ac:dyDescent="0.3">
      <c r="A108" s="170"/>
      <c r="B108" s="165" t="s">
        <v>110</v>
      </c>
      <c r="C108" s="53"/>
      <c r="D108" s="54">
        <f>D65</f>
        <v>0</v>
      </c>
      <c r="E108" s="54">
        <f>E65</f>
        <v>0</v>
      </c>
      <c r="F108" s="45">
        <f t="shared" si="74"/>
        <v>0</v>
      </c>
      <c r="G108" s="54">
        <f>G65</f>
        <v>0</v>
      </c>
      <c r="H108" s="54">
        <f>H65</f>
        <v>0</v>
      </c>
      <c r="I108" s="54">
        <f t="shared" si="69"/>
        <v>0</v>
      </c>
      <c r="J108" s="191"/>
      <c r="K108" s="54">
        <f>K65</f>
        <v>0</v>
      </c>
      <c r="L108" s="54">
        <f t="shared" si="71"/>
        <v>0</v>
      </c>
      <c r="M108" s="191"/>
      <c r="N108" s="191"/>
      <c r="O108" s="45">
        <f>O65</f>
        <v>0</v>
      </c>
      <c r="P108" s="92">
        <f t="shared" si="75"/>
        <v>0</v>
      </c>
      <c r="Q108" s="93"/>
    </row>
    <row r="109" spans="1:18" s="55" customFormat="1" ht="37.5" customHeight="1" x14ac:dyDescent="0.3">
      <c r="A109" s="170"/>
      <c r="B109" s="56" t="s">
        <v>72</v>
      </c>
      <c r="C109" s="53"/>
      <c r="D109" s="54">
        <f>D110+D111</f>
        <v>921893.46699999995</v>
      </c>
      <c r="E109" s="54">
        <f t="shared" ref="E109" si="76">E110+E111</f>
        <v>921893.46699999995</v>
      </c>
      <c r="F109" s="45">
        <f t="shared" si="74"/>
        <v>65509.462</v>
      </c>
      <c r="G109" s="54">
        <f t="shared" ref="G109:H109" si="77">G110+G111</f>
        <v>65509.462</v>
      </c>
      <c r="H109" s="54">
        <f t="shared" si="77"/>
        <v>82971.262999999992</v>
      </c>
      <c r="I109" s="54">
        <f t="shared" si="69"/>
        <v>-17461.800999999992</v>
      </c>
      <c r="J109" s="191">
        <f t="shared" si="70"/>
        <v>78.954398946536472</v>
      </c>
      <c r="K109" s="54">
        <f t="shared" ref="K109" si="78">K110+K111</f>
        <v>82971.262999999992</v>
      </c>
      <c r="L109" s="54">
        <f t="shared" si="71"/>
        <v>-17461.800999999992</v>
      </c>
      <c r="M109" s="191">
        <f t="shared" si="72"/>
        <v>78.954398946536472</v>
      </c>
      <c r="N109" s="191">
        <f t="shared" si="73"/>
        <v>7.1059687854366809</v>
      </c>
      <c r="O109" s="45">
        <f t="shared" ref="O109" si="79">O110+O111</f>
        <v>59687.450000000004</v>
      </c>
      <c r="P109" s="92">
        <f t="shared" si="75"/>
        <v>5822.0119999999952</v>
      </c>
      <c r="Q109" s="93">
        <f>F109/O109*100</f>
        <v>109.75416440139425</v>
      </c>
    </row>
    <row r="110" spans="1:18" s="173" customFormat="1" ht="23.25" x14ac:dyDescent="0.35">
      <c r="A110" s="171"/>
      <c r="B110" s="172" t="s">
        <v>100</v>
      </c>
      <c r="C110" s="172"/>
      <c r="D110" s="125">
        <f>D67+D90</f>
        <v>896476.1</v>
      </c>
      <c r="E110" s="125">
        <f>E67+E90</f>
        <v>896476.1</v>
      </c>
      <c r="F110" s="128">
        <f t="shared" si="74"/>
        <v>63808.4</v>
      </c>
      <c r="G110" s="125">
        <f>G67+G90</f>
        <v>63808.4</v>
      </c>
      <c r="H110" s="125">
        <f>H67+H90</f>
        <v>81198.399999999994</v>
      </c>
      <c r="I110" s="125">
        <f t="shared" si="69"/>
        <v>-17389.999999999993</v>
      </c>
      <c r="J110" s="198">
        <f t="shared" si="70"/>
        <v>78.583321838853976</v>
      </c>
      <c r="K110" s="125">
        <f>K67+K90</f>
        <v>81198.399999999994</v>
      </c>
      <c r="L110" s="125">
        <f t="shared" si="71"/>
        <v>-17389.999999999993</v>
      </c>
      <c r="M110" s="198">
        <f t="shared" si="72"/>
        <v>78.583321838853976</v>
      </c>
      <c r="N110" s="198">
        <f t="shared" si="73"/>
        <v>7.1176911464789754</v>
      </c>
      <c r="O110" s="128">
        <f>O67+O90</f>
        <v>58102.400000000001</v>
      </c>
      <c r="P110" s="122">
        <f t="shared" si="75"/>
        <v>5706</v>
      </c>
      <c r="Q110" s="123">
        <f>F110/O110*100</f>
        <v>109.82059260891117</v>
      </c>
    </row>
    <row r="111" spans="1:18" s="173" customFormat="1" ht="23.25" x14ac:dyDescent="0.35">
      <c r="A111" s="171"/>
      <c r="B111" s="172" t="s">
        <v>99</v>
      </c>
      <c r="C111" s="172"/>
      <c r="D111" s="125">
        <f>D91+D68</f>
        <v>25417.366999999998</v>
      </c>
      <c r="E111" s="125">
        <f>E91+E68</f>
        <v>25417.366999999998</v>
      </c>
      <c r="F111" s="128">
        <f t="shared" si="74"/>
        <v>1701.0619999999999</v>
      </c>
      <c r="G111" s="125">
        <f>G91+G68</f>
        <v>1701.0619999999999</v>
      </c>
      <c r="H111" s="125">
        <f>H91+H68</f>
        <v>1772.8629999999998</v>
      </c>
      <c r="I111" s="125">
        <f t="shared" si="69"/>
        <v>-71.800999999999931</v>
      </c>
      <c r="J111" s="198">
        <f t="shared" si="70"/>
        <v>95.949997264312032</v>
      </c>
      <c r="K111" s="125">
        <f>K91+K68</f>
        <v>1772.8629999999998</v>
      </c>
      <c r="L111" s="125">
        <f t="shared" si="71"/>
        <v>-71.800999999999931</v>
      </c>
      <c r="M111" s="198">
        <f t="shared" si="72"/>
        <v>95.949997264312032</v>
      </c>
      <c r="N111" s="198">
        <f t="shared" si="73"/>
        <v>6.6925185445054156</v>
      </c>
      <c r="O111" s="128">
        <f>O91+O68</f>
        <v>1585.05</v>
      </c>
      <c r="P111" s="122">
        <f t="shared" si="75"/>
        <v>116.01199999999994</v>
      </c>
      <c r="Q111" s="123">
        <f>F111/O111*100</f>
        <v>107.31913819753321</v>
      </c>
    </row>
    <row r="112" spans="1:18" s="55" customFormat="1" ht="90" x14ac:dyDescent="0.3">
      <c r="A112" s="170"/>
      <c r="B112" s="56" t="s">
        <v>177</v>
      </c>
      <c r="C112" s="53"/>
      <c r="D112" s="54">
        <f>D92</f>
        <v>0</v>
      </c>
      <c r="E112" s="54">
        <f>E92</f>
        <v>24369.562000000002</v>
      </c>
      <c r="F112" s="45">
        <f t="shared" si="74"/>
        <v>24369.562000000002</v>
      </c>
      <c r="G112" s="54">
        <f>G92</f>
        <v>24369.562000000002</v>
      </c>
      <c r="H112" s="54">
        <f>H92</f>
        <v>24369.562000000002</v>
      </c>
      <c r="I112" s="54">
        <f t="shared" ref="I112" si="80">F112-H112</f>
        <v>0</v>
      </c>
      <c r="J112" s="191">
        <f t="shared" ref="J112" si="81">F112/H112*100</f>
        <v>100</v>
      </c>
      <c r="K112" s="54">
        <f>K92</f>
        <v>24369.562000000002</v>
      </c>
      <c r="L112" s="54">
        <f t="shared" ref="L112" si="82">F112-K112</f>
        <v>0</v>
      </c>
      <c r="M112" s="191">
        <f t="shared" ref="M112" si="83">F112/K112*100</f>
        <v>100</v>
      </c>
      <c r="N112" s="191">
        <f t="shared" ref="N112" si="84">F112/E112*100</f>
        <v>100</v>
      </c>
      <c r="O112" s="45">
        <f>O92</f>
        <v>0</v>
      </c>
      <c r="P112" s="92">
        <f t="shared" si="75"/>
        <v>24369.562000000002</v>
      </c>
      <c r="Q112" s="93"/>
    </row>
    <row r="113" spans="1:19" s="153" customFormat="1" ht="46.5" x14ac:dyDescent="0.3">
      <c r="A113" s="162"/>
      <c r="B113" s="147" t="s">
        <v>125</v>
      </c>
      <c r="C113" s="154"/>
      <c r="D113" s="149">
        <f>D98+D106</f>
        <v>6355016.3520000009</v>
      </c>
      <c r="E113" s="149">
        <f>E98+E106</f>
        <v>6379385.9140000008</v>
      </c>
      <c r="F113" s="149">
        <f t="shared" si="74"/>
        <v>557088.33100000012</v>
      </c>
      <c r="G113" s="149">
        <f t="shared" ref="G113" si="85">G98+G106</f>
        <v>557088.33100000012</v>
      </c>
      <c r="H113" s="149">
        <f>H98+H106</f>
        <v>517981.87099999998</v>
      </c>
      <c r="I113" s="149">
        <f t="shared" si="69"/>
        <v>39106.460000000137</v>
      </c>
      <c r="J113" s="199">
        <f t="shared" si="70"/>
        <v>107.54977388002062</v>
      </c>
      <c r="K113" s="149">
        <f>K98+K106</f>
        <v>560101.06541666668</v>
      </c>
      <c r="L113" s="149">
        <f t="shared" si="71"/>
        <v>-3012.7344166665571</v>
      </c>
      <c r="M113" s="199">
        <f t="shared" si="72"/>
        <v>99.462108786665965</v>
      </c>
      <c r="N113" s="199">
        <f t="shared" si="73"/>
        <v>8.7326325528830537</v>
      </c>
      <c r="O113" s="149">
        <f>O98+O106</f>
        <v>485522.42299999989</v>
      </c>
      <c r="P113" s="150">
        <f t="shared" si="75"/>
        <v>71565.908000000229</v>
      </c>
      <c r="Q113" s="151">
        <f>F113/O113*100</f>
        <v>114.73997999058435</v>
      </c>
      <c r="R113" s="149">
        <v>485522.42299999989</v>
      </c>
      <c r="S113" s="149">
        <f>R113-O113</f>
        <v>0</v>
      </c>
    </row>
    <row r="114" spans="1:19" s="55" customFormat="1" ht="22.5" x14ac:dyDescent="0.3">
      <c r="A114" s="57"/>
      <c r="B114" s="52"/>
      <c r="C114" s="53"/>
      <c r="D114" s="183"/>
      <c r="E114" s="183"/>
      <c r="F114" s="184"/>
      <c r="G114" s="183"/>
      <c r="H114" s="183"/>
      <c r="I114" s="183"/>
      <c r="J114" s="202"/>
      <c r="K114" s="183"/>
      <c r="L114" s="183"/>
      <c r="M114" s="202"/>
      <c r="N114" s="202"/>
      <c r="O114" s="184"/>
      <c r="P114" s="92"/>
      <c r="Q114" s="93"/>
    </row>
    <row r="115" spans="1:19" s="55" customFormat="1" ht="87" x14ac:dyDescent="0.3">
      <c r="A115" s="57"/>
      <c r="B115" s="114" t="s">
        <v>73</v>
      </c>
      <c r="C115" s="53"/>
      <c r="D115" s="54">
        <f>D70+D96</f>
        <v>6266073.9440000001</v>
      </c>
      <c r="E115" s="54">
        <f>E70+E96</f>
        <v>6290443.506000001</v>
      </c>
      <c r="F115" s="45">
        <f>SUM(G115:G115)</f>
        <v>548069.91100000008</v>
      </c>
      <c r="G115" s="54">
        <f>G70+G96</f>
        <v>548069.91100000008</v>
      </c>
      <c r="H115" s="54">
        <f>H70+H96</f>
        <v>510570.00400000002</v>
      </c>
      <c r="I115" s="54">
        <f t="shared" si="69"/>
        <v>37499.907000000065</v>
      </c>
      <c r="J115" s="191">
        <f>F115/H115*100</f>
        <v>107.34471408547535</v>
      </c>
      <c r="K115" s="54">
        <f>K70+K96</f>
        <v>552689.19808333332</v>
      </c>
      <c r="L115" s="54">
        <f t="shared" si="71"/>
        <v>-4619.2870833332418</v>
      </c>
      <c r="M115" s="191">
        <f>F115/K115*100</f>
        <v>99.164216145466128</v>
      </c>
      <c r="N115" s="191">
        <f t="shared" si="73"/>
        <v>8.7127387834774392</v>
      </c>
      <c r="O115" s="45">
        <f>O70+O96</f>
        <v>472657.78399999987</v>
      </c>
      <c r="P115" s="92">
        <f>F115-O115</f>
        <v>75412.127000000211</v>
      </c>
      <c r="Q115" s="93">
        <f>F115/O115*100</f>
        <v>115.95491062514698</v>
      </c>
    </row>
    <row r="116" spans="1:19" s="14" customFormat="1" ht="3.75" customHeight="1" x14ac:dyDescent="0.3">
      <c r="A116" s="34"/>
      <c r="B116" s="35"/>
      <c r="C116" s="36"/>
      <c r="D116" s="36"/>
      <c r="E116" s="37"/>
      <c r="F116" s="101"/>
      <c r="G116" s="37"/>
      <c r="H116" s="37"/>
      <c r="I116" s="37"/>
      <c r="J116" s="37"/>
      <c r="K116" s="37"/>
      <c r="L116" s="37"/>
      <c r="M116" s="37"/>
      <c r="N116" s="37"/>
      <c r="O116" s="101"/>
      <c r="P116" s="94"/>
      <c r="Q116" s="95"/>
    </row>
    <row r="117" spans="1:19" s="14" customFormat="1" ht="149.25" customHeight="1" x14ac:dyDescent="0.4">
      <c r="A117" s="34"/>
      <c r="B117" s="241" t="s">
        <v>168</v>
      </c>
      <c r="C117" s="241"/>
      <c r="D117" s="241"/>
      <c r="E117" s="21"/>
      <c r="F117" s="21" t="s">
        <v>90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94"/>
      <c r="Q117" s="95"/>
    </row>
    <row r="118" spans="1:19" s="7" customFormat="1" ht="18" customHeight="1" x14ac:dyDescent="0.45">
      <c r="A118" s="6"/>
      <c r="B118" s="29" t="s">
        <v>52</v>
      </c>
      <c r="C118" s="18"/>
      <c r="D118" s="18"/>
      <c r="E118" s="18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96"/>
      <c r="Q118" s="97"/>
    </row>
    <row r="119" spans="1:19" s="7" customFormat="1" ht="30.75" x14ac:dyDescent="0.45">
      <c r="A119" s="6"/>
      <c r="B119" s="18"/>
      <c r="C119" s="18"/>
      <c r="D119" s="18"/>
      <c r="E119" s="136"/>
      <c r="F119" s="58"/>
      <c r="G119" s="20"/>
      <c r="H119" s="20"/>
      <c r="I119" s="20"/>
      <c r="J119" s="20"/>
      <c r="K119" s="20"/>
      <c r="L119" s="20"/>
      <c r="M119" s="20"/>
      <c r="N119" s="20"/>
      <c r="O119" s="58"/>
      <c r="P119" s="96"/>
      <c r="Q119" s="97"/>
    </row>
    <row r="120" spans="1:19" s="4" customFormat="1" ht="30.75" customHeight="1" x14ac:dyDescent="0.45">
      <c r="A120" s="27"/>
      <c r="B120" s="18"/>
      <c r="C120" s="18"/>
      <c r="D120" s="112">
        <v>6355016.352</v>
      </c>
      <c r="E120" s="112">
        <v>6355016.352</v>
      </c>
      <c r="F120" s="64">
        <v>6497781.0829999996</v>
      </c>
      <c r="G120" s="113"/>
      <c r="H120" s="113"/>
      <c r="I120" s="113"/>
      <c r="J120" s="113"/>
      <c r="K120" s="113"/>
      <c r="L120" s="113"/>
      <c r="M120" s="113"/>
      <c r="N120" s="113"/>
      <c r="O120" s="64"/>
      <c r="P120" s="5"/>
    </row>
    <row r="121" spans="1:19" ht="12" customHeight="1" x14ac:dyDescent="0.45">
      <c r="B121" s="29"/>
      <c r="C121" s="20"/>
      <c r="D121" s="20"/>
      <c r="E121" s="20"/>
      <c r="F121" s="58"/>
      <c r="G121" s="20"/>
      <c r="H121" s="20"/>
      <c r="I121" s="20"/>
      <c r="J121" s="20"/>
      <c r="K121" s="20"/>
      <c r="L121" s="20"/>
      <c r="M121" s="20"/>
      <c r="N121" s="20"/>
      <c r="O121" s="58"/>
    </row>
    <row r="122" spans="1:19" s="2" customFormat="1" ht="30.75" hidden="1" customHeight="1" x14ac:dyDescent="0.45">
      <c r="A122" s="28"/>
      <c r="B122" s="18"/>
      <c r="C122" s="18"/>
      <c r="D122" s="18"/>
      <c r="E122" s="18"/>
      <c r="F122" s="58"/>
      <c r="G122" s="20"/>
      <c r="H122" s="20"/>
      <c r="I122" s="20"/>
      <c r="J122" s="20"/>
      <c r="K122" s="20"/>
      <c r="L122" s="20"/>
      <c r="M122" s="20"/>
      <c r="N122" s="20"/>
      <c r="O122" s="58"/>
      <c r="P122" s="144"/>
    </row>
    <row r="123" spans="1:19" s="2" customFormat="1" ht="30.75" hidden="1" customHeight="1" x14ac:dyDescent="0.45">
      <c r="A123" s="28"/>
      <c r="B123" s="18"/>
      <c r="C123" s="18"/>
      <c r="D123" s="18"/>
      <c r="E123" s="18"/>
      <c r="F123" s="58"/>
      <c r="G123" s="20"/>
      <c r="H123" s="20"/>
      <c r="I123" s="20"/>
      <c r="J123" s="20"/>
      <c r="K123" s="20"/>
      <c r="L123" s="20"/>
      <c r="M123" s="20"/>
      <c r="N123" s="20"/>
      <c r="O123" s="58"/>
      <c r="P123" s="144"/>
    </row>
    <row r="124" spans="1:19" s="2" customFormat="1" ht="16.5" customHeight="1" x14ac:dyDescent="0.45">
      <c r="A124" s="28"/>
      <c r="B124" s="29"/>
      <c r="C124" s="20"/>
      <c r="D124" s="20"/>
      <c r="E124" s="20"/>
      <c r="F124" s="58"/>
      <c r="G124" s="20"/>
      <c r="H124" s="20"/>
      <c r="I124" s="20"/>
      <c r="J124" s="20"/>
      <c r="K124" s="20"/>
      <c r="L124" s="20"/>
      <c r="M124" s="20"/>
      <c r="N124" s="20"/>
      <c r="O124" s="58"/>
      <c r="P124" s="144"/>
    </row>
    <row r="125" spans="1:19" ht="18.75" x14ac:dyDescent="0.3">
      <c r="B125" s="27"/>
      <c r="D125" s="112">
        <f>D120-D113</f>
        <v>0</v>
      </c>
      <c r="E125" s="112">
        <f t="shared" ref="E125:F125" si="86">E120-E113</f>
        <v>-24369.562000000849</v>
      </c>
      <c r="F125" s="112">
        <f t="shared" si="86"/>
        <v>5940692.7519999994</v>
      </c>
      <c r="G125" s="31"/>
      <c r="H125" s="31"/>
      <c r="I125" s="31"/>
      <c r="J125" s="31"/>
      <c r="K125" s="31"/>
      <c r="L125" s="31"/>
      <c r="M125" s="31"/>
      <c r="N125" s="31"/>
      <c r="O125" s="112"/>
    </row>
    <row r="126" spans="1:19" ht="18.75" x14ac:dyDescent="0.3">
      <c r="B126" s="27"/>
      <c r="D126" s="64"/>
      <c r="E126" s="64">
        <v>6341594.04</v>
      </c>
      <c r="F126" s="64">
        <v>6497781.0829999996</v>
      </c>
    </row>
    <row r="127" spans="1:19" ht="18.75" x14ac:dyDescent="0.3">
      <c r="B127" s="27"/>
      <c r="D127" s="112"/>
      <c r="E127" s="112">
        <f>E126-E113</f>
        <v>-37791.874000000767</v>
      </c>
      <c r="F127" s="112">
        <f>F126-F113</f>
        <v>5940692.7519999994</v>
      </c>
      <c r="G127" s="31"/>
      <c r="H127" s="31"/>
      <c r="I127" s="31"/>
      <c r="J127" s="31"/>
      <c r="K127" s="31"/>
      <c r="L127" s="31"/>
      <c r="M127" s="31"/>
      <c r="N127" s="31"/>
      <c r="O127" s="112"/>
    </row>
    <row r="128" spans="1:19" ht="18.75" x14ac:dyDescent="0.3">
      <c r="B128" s="4"/>
      <c r="C128" s="3"/>
      <c r="D128" s="3"/>
      <c r="E128" s="3"/>
      <c r="F128" s="3"/>
      <c r="I128" s="228" t="s">
        <v>49</v>
      </c>
      <c r="J128" s="228"/>
      <c r="K128" s="210">
        <f>E52/12*1</f>
        <v>434979.19808333338</v>
      </c>
      <c r="O128" s="3"/>
    </row>
    <row r="129" spans="2:42" ht="22.5" x14ac:dyDescent="0.3">
      <c r="B129" s="4"/>
      <c r="C129" s="3"/>
      <c r="D129" s="3"/>
      <c r="E129" s="137"/>
      <c r="F129" s="137"/>
      <c r="I129" s="186"/>
      <c r="J129" s="186"/>
      <c r="K129" s="210">
        <f>K128-K52</f>
        <v>0</v>
      </c>
      <c r="O129" s="137"/>
    </row>
    <row r="130" spans="2:42" ht="18.75" x14ac:dyDescent="0.3">
      <c r="B130" s="4"/>
      <c r="C130" s="3"/>
      <c r="D130" s="3"/>
      <c r="E130" s="3"/>
      <c r="I130" s="228" t="s">
        <v>50</v>
      </c>
      <c r="J130" s="228"/>
      <c r="K130" s="211">
        <f>E83/12*1</f>
        <v>17781.042333333335</v>
      </c>
    </row>
    <row r="131" spans="2:42" ht="18.75" x14ac:dyDescent="0.3">
      <c r="B131" s="4"/>
      <c r="C131" s="3"/>
      <c r="D131" s="3"/>
      <c r="E131" s="3"/>
      <c r="I131" s="186"/>
      <c r="J131" s="186"/>
      <c r="K131" s="210">
        <f>K130-K83</f>
        <v>0</v>
      </c>
    </row>
    <row r="132" spans="2:42" ht="18.75" x14ac:dyDescent="0.3">
      <c r="B132" s="139"/>
      <c r="C132" s="3"/>
      <c r="D132" s="3"/>
      <c r="E132" s="3"/>
      <c r="I132" s="228" t="s">
        <v>51</v>
      </c>
      <c r="J132" s="228"/>
      <c r="K132" s="210">
        <f>K130+K88</f>
        <v>59540.604333333336</v>
      </c>
    </row>
    <row r="133" spans="2:42" ht="18.75" x14ac:dyDescent="0.3">
      <c r="B133" s="4"/>
      <c r="C133" s="3"/>
      <c r="D133" s="3"/>
      <c r="E133" s="3"/>
      <c r="I133" s="186"/>
      <c r="J133" s="186"/>
      <c r="K133" s="210">
        <f>K132-K94</f>
        <v>0</v>
      </c>
    </row>
    <row r="134" spans="2:42" s="19" customFormat="1" ht="18.75" x14ac:dyDescent="0.3">
      <c r="B134" s="4"/>
      <c r="C134" s="3"/>
      <c r="D134" s="3"/>
      <c r="E134" s="3"/>
      <c r="F134" s="31"/>
      <c r="G134" s="3"/>
      <c r="H134" s="3"/>
      <c r="I134" s="3"/>
      <c r="J134" s="3"/>
      <c r="K134" s="3"/>
      <c r="L134" s="3"/>
      <c r="M134" s="3"/>
      <c r="N134" s="3"/>
      <c r="O134" s="31"/>
      <c r="P134" s="1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s="19" customFormat="1" ht="18.75" x14ac:dyDescent="0.3">
      <c r="B135" s="4"/>
      <c r="C135" s="3"/>
      <c r="D135" s="3"/>
      <c r="E135" s="113"/>
      <c r="F135" s="140"/>
      <c r="G135" s="3"/>
      <c r="H135" s="3"/>
      <c r="I135" s="3"/>
      <c r="J135" s="3"/>
      <c r="K135" s="3"/>
      <c r="L135" s="3"/>
      <c r="M135" s="3"/>
      <c r="N135" s="3"/>
      <c r="O135" s="140"/>
      <c r="P135" s="1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s="19" customFormat="1" ht="18.75" x14ac:dyDescent="0.3">
      <c r="B136" s="4"/>
      <c r="C136" s="3"/>
      <c r="D136" s="141"/>
      <c r="E136" s="3"/>
      <c r="F136" s="31"/>
      <c r="G136" s="3"/>
      <c r="H136" s="3"/>
      <c r="I136" s="3"/>
      <c r="J136" s="3"/>
      <c r="K136" s="3"/>
      <c r="L136" s="3"/>
      <c r="M136" s="3"/>
      <c r="N136" s="3"/>
      <c r="O136" s="31"/>
      <c r="P136" s="1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s="19" customFormat="1" ht="18.75" x14ac:dyDescent="0.3">
      <c r="B137" s="4"/>
      <c r="C137" s="3"/>
      <c r="D137" s="3"/>
      <c r="E137" s="3"/>
      <c r="F137" s="31"/>
      <c r="G137" s="3"/>
      <c r="H137" s="3"/>
      <c r="I137" s="3"/>
      <c r="J137" s="3"/>
      <c r="K137" s="3"/>
      <c r="L137" s="3"/>
      <c r="M137" s="3"/>
      <c r="N137" s="3"/>
      <c r="O137" s="31"/>
      <c r="P137" s="1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s="19" customFormat="1" ht="22.5" x14ac:dyDescent="0.3">
      <c r="B138" s="4"/>
      <c r="C138" s="3"/>
      <c r="D138" s="138"/>
      <c r="E138" s="3"/>
      <c r="F138" s="31"/>
      <c r="G138" s="3"/>
      <c r="H138" s="3"/>
      <c r="I138" s="3"/>
      <c r="J138" s="3"/>
      <c r="K138" s="3"/>
      <c r="L138" s="3"/>
      <c r="M138" s="3"/>
      <c r="N138" s="3"/>
      <c r="O138" s="31"/>
      <c r="P138" s="1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s="19" customFormat="1" ht="18.75" x14ac:dyDescent="0.3">
      <c r="B139" s="4"/>
      <c r="C139" s="3"/>
      <c r="D139" s="3"/>
      <c r="E139" s="3"/>
      <c r="F139" s="140"/>
      <c r="G139" s="3"/>
      <c r="H139" s="3"/>
      <c r="I139" s="3"/>
      <c r="J139" s="3"/>
      <c r="K139" s="3"/>
      <c r="L139" s="3"/>
      <c r="M139" s="3"/>
      <c r="N139" s="3"/>
      <c r="O139" s="140"/>
      <c r="P139" s="1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s="19" customFormat="1" ht="18.75" x14ac:dyDescent="0.3">
      <c r="B140" s="4"/>
      <c r="C140" s="3"/>
      <c r="D140" s="3"/>
      <c r="E140" s="3"/>
      <c r="F140" s="31"/>
      <c r="G140" s="3"/>
      <c r="H140" s="3"/>
      <c r="I140" s="3"/>
      <c r="J140" s="3"/>
      <c r="K140" s="3"/>
      <c r="L140" s="3"/>
      <c r="M140" s="3"/>
      <c r="N140" s="3"/>
      <c r="O140" s="31"/>
      <c r="P140" s="1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s="19" customFormat="1" ht="18.75" x14ac:dyDescent="0.3">
      <c r="B141" s="4"/>
      <c r="C141" s="3"/>
      <c r="D141" s="3"/>
      <c r="E141" s="3"/>
      <c r="F141" s="31"/>
      <c r="G141" s="3"/>
      <c r="H141" s="3"/>
      <c r="I141" s="3"/>
      <c r="J141" s="3"/>
      <c r="K141" s="3"/>
      <c r="L141" s="3"/>
      <c r="M141" s="3"/>
      <c r="N141" s="3"/>
      <c r="O141" s="31"/>
      <c r="P141" s="1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s="19" customFormat="1" ht="18.75" x14ac:dyDescent="0.3">
      <c r="B142" s="27"/>
      <c r="F142" s="31"/>
      <c r="G142" s="3"/>
      <c r="H142" s="3"/>
      <c r="I142" s="3"/>
      <c r="J142" s="3"/>
      <c r="K142" s="3"/>
      <c r="L142" s="3"/>
      <c r="M142" s="3"/>
      <c r="N142" s="3"/>
      <c r="O142" s="31"/>
      <c r="P142" s="1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s="19" customFormat="1" ht="18.75" x14ac:dyDescent="0.3">
      <c r="B143" s="27"/>
      <c r="F143" s="31"/>
      <c r="G143" s="3"/>
      <c r="H143" s="3"/>
      <c r="I143" s="3"/>
      <c r="J143" s="3"/>
      <c r="K143" s="3"/>
      <c r="L143" s="3"/>
      <c r="M143" s="3"/>
      <c r="N143" s="3"/>
      <c r="O143" s="31"/>
      <c r="P143" s="1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</sheetData>
  <mergeCells count="32">
    <mergeCell ref="A1:Q1"/>
    <mergeCell ref="A6:Q6"/>
    <mergeCell ref="A72:Q72"/>
    <mergeCell ref="A97:Q97"/>
    <mergeCell ref="A3:A4"/>
    <mergeCell ref="B3:B4"/>
    <mergeCell ref="D3:D4"/>
    <mergeCell ref="E3:E4"/>
    <mergeCell ref="H3:H4"/>
    <mergeCell ref="I3:I4"/>
    <mergeCell ref="J3:J4"/>
    <mergeCell ref="C17:C19"/>
    <mergeCell ref="K3:K4"/>
    <mergeCell ref="L3:L4"/>
    <mergeCell ref="Q3:Q4"/>
    <mergeCell ref="O3:O4"/>
    <mergeCell ref="P3:P4"/>
    <mergeCell ref="M3:M4"/>
    <mergeCell ref="B117:D117"/>
    <mergeCell ref="C25:C27"/>
    <mergeCell ref="G3:G4"/>
    <mergeCell ref="F3:F4"/>
    <mergeCell ref="C3:C4"/>
    <mergeCell ref="N3:N4"/>
    <mergeCell ref="I132:J132"/>
    <mergeCell ref="I128:J128"/>
    <mergeCell ref="I130:J130"/>
    <mergeCell ref="A7:A9"/>
    <mergeCell ref="B9:C9"/>
    <mergeCell ref="D8:N8"/>
    <mergeCell ref="A52:C52"/>
    <mergeCell ref="A53:C53"/>
  </mergeCells>
  <printOptions horizontalCentered="1"/>
  <pageMargins left="0.39370078740157483" right="0" top="0" bottom="0" header="0.23622047244094491" footer="0.11811023622047245"/>
  <pageSetup paperSize="8" scale="54" fitToHeight="6" orientation="landscape" horizontalDpi="300" verticalDpi="300" r:id="rId1"/>
  <headerFooter alignWithMargins="0"/>
  <rowBreaks count="1" manualBreakCount="1">
    <brk id="71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41"/>
  <sheetViews>
    <sheetView showGridLines="0" tabSelected="1" view="pageBreakPreview" zoomScale="75" zoomScaleNormal="75" zoomScaleSheetLayoutView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9" sqref="B9:C9"/>
    </sheetView>
  </sheetViews>
  <sheetFormatPr defaultRowHeight="12.75" x14ac:dyDescent="0.2"/>
  <cols>
    <col min="1" max="1" width="12.28515625" style="19" customWidth="1"/>
    <col min="2" max="2" width="98.85546875" style="19" customWidth="1"/>
    <col min="3" max="3" width="16.140625" style="19" customWidth="1"/>
    <col min="4" max="5" width="24.140625" style="19" customWidth="1"/>
    <col min="6" max="6" width="24.28515625" style="31" customWidth="1"/>
    <col min="7" max="9" width="21.140625" style="3" hidden="1" customWidth="1"/>
    <col min="10" max="10" width="24.140625" style="3" customWidth="1"/>
    <col min="11" max="11" width="21.28515625" style="3" customWidth="1"/>
    <col min="12" max="12" width="14.85546875" style="3" bestFit="1" customWidth="1"/>
    <col min="13" max="13" width="24" style="3" hidden="1" customWidth="1"/>
    <col min="14" max="14" width="23" style="3" hidden="1" customWidth="1"/>
    <col min="15" max="15" width="13.7109375" style="3" hidden="1" customWidth="1"/>
    <col min="16" max="16" width="15.28515625" style="3" customWidth="1"/>
    <col min="17" max="17" width="24.140625" style="31" customWidth="1"/>
    <col min="18" max="18" width="23.5703125" style="1" customWidth="1"/>
    <col min="19" max="19" width="13.7109375" style="3" bestFit="1" customWidth="1"/>
    <col min="20" max="20" width="24.140625" style="3" hidden="1" customWidth="1"/>
    <col min="21" max="21" width="22.5703125" style="3" hidden="1" customWidth="1"/>
    <col min="22" max="22" width="15.85546875" style="3" hidden="1" customWidth="1"/>
    <col min="23" max="23" width="0" style="3" hidden="1" customWidth="1"/>
    <col min="24" max="24" width="24.140625" style="3" hidden="1" customWidth="1"/>
    <col min="25" max="25" width="0" style="3" hidden="1" customWidth="1"/>
    <col min="26" max="26" width="15.140625" style="3" hidden="1" customWidth="1"/>
    <col min="27" max="28" width="0" style="3" hidden="1" customWidth="1"/>
    <col min="29" max="16384" width="9.140625" style="3"/>
  </cols>
  <sheetData>
    <row r="1" spans="1:34" ht="30" customHeight="1" x14ac:dyDescent="0.2">
      <c r="A1" s="246" t="s">
        <v>228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</row>
    <row r="2" spans="1:34" ht="18.75" x14ac:dyDescent="0.3">
      <c r="A2" s="22" t="s">
        <v>48</v>
      </c>
      <c r="B2" s="17"/>
      <c r="C2" s="17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5" t="s">
        <v>13</v>
      </c>
      <c r="S2" s="5"/>
    </row>
    <row r="3" spans="1:34" s="68" customFormat="1" ht="15" customHeight="1" x14ac:dyDescent="0.25">
      <c r="A3" s="256" t="s">
        <v>0</v>
      </c>
      <c r="B3" s="244" t="s">
        <v>1</v>
      </c>
      <c r="C3" s="244" t="s">
        <v>2</v>
      </c>
      <c r="D3" s="240" t="s">
        <v>173</v>
      </c>
      <c r="E3" s="240" t="s">
        <v>174</v>
      </c>
      <c r="F3" s="243" t="s">
        <v>216</v>
      </c>
      <c r="G3" s="240" t="s">
        <v>63</v>
      </c>
      <c r="H3" s="240" t="s">
        <v>208</v>
      </c>
      <c r="I3" s="240" t="s">
        <v>223</v>
      </c>
      <c r="J3" s="240" t="s">
        <v>217</v>
      </c>
      <c r="K3" s="240" t="s">
        <v>218</v>
      </c>
      <c r="L3" s="240" t="s">
        <v>3</v>
      </c>
      <c r="M3" s="240" t="s">
        <v>219</v>
      </c>
      <c r="N3" s="240" t="s">
        <v>220</v>
      </c>
      <c r="O3" s="240" t="s">
        <v>3</v>
      </c>
      <c r="P3" s="245" t="s">
        <v>221</v>
      </c>
      <c r="Q3" s="243" t="s">
        <v>222</v>
      </c>
      <c r="R3" s="240" t="s">
        <v>181</v>
      </c>
      <c r="S3" s="240" t="s">
        <v>3</v>
      </c>
    </row>
    <row r="4" spans="1:34" s="68" customFormat="1" ht="94.5" customHeight="1" x14ac:dyDescent="0.25">
      <c r="A4" s="256"/>
      <c r="B4" s="244"/>
      <c r="C4" s="244"/>
      <c r="D4" s="240"/>
      <c r="E4" s="240"/>
      <c r="F4" s="243"/>
      <c r="G4" s="240"/>
      <c r="H4" s="240"/>
      <c r="I4" s="240"/>
      <c r="J4" s="240"/>
      <c r="K4" s="240"/>
      <c r="L4" s="240"/>
      <c r="M4" s="240"/>
      <c r="N4" s="240"/>
      <c r="O4" s="240"/>
      <c r="P4" s="245"/>
      <c r="Q4" s="243"/>
      <c r="R4" s="240"/>
      <c r="S4" s="240"/>
    </row>
    <row r="5" spans="1:34" s="73" customFormat="1" ht="20.25" x14ac:dyDescent="0.2">
      <c r="A5" s="69" t="s">
        <v>4</v>
      </c>
      <c r="B5" s="70" t="s">
        <v>5</v>
      </c>
      <c r="C5" s="70">
        <f>B5+1</f>
        <v>3</v>
      </c>
      <c r="D5" s="70">
        <f>C5+1</f>
        <v>4</v>
      </c>
      <c r="E5" s="70">
        <f t="shared" ref="E5:S5" si="0">D5+1</f>
        <v>5</v>
      </c>
      <c r="F5" s="71">
        <f t="shared" si="0"/>
        <v>6</v>
      </c>
      <c r="G5" s="70">
        <f t="shared" ref="G5" si="1">F5+1</f>
        <v>7</v>
      </c>
      <c r="H5" s="70">
        <f t="shared" ref="H5" si="2">G5+1</f>
        <v>8</v>
      </c>
      <c r="I5" s="70">
        <f t="shared" ref="I5" si="3">H5+1</f>
        <v>9</v>
      </c>
      <c r="J5" s="70">
        <v>7</v>
      </c>
      <c r="K5" s="70">
        <f t="shared" ref="K5" si="4">J5+1</f>
        <v>8</v>
      </c>
      <c r="L5" s="70">
        <f t="shared" si="0"/>
        <v>9</v>
      </c>
      <c r="M5" s="70">
        <f t="shared" si="0"/>
        <v>10</v>
      </c>
      <c r="N5" s="70">
        <f t="shared" si="0"/>
        <v>11</v>
      </c>
      <c r="O5" s="70">
        <f t="shared" si="0"/>
        <v>12</v>
      </c>
      <c r="P5" s="70">
        <v>10</v>
      </c>
      <c r="Q5" s="71">
        <f t="shared" si="0"/>
        <v>11</v>
      </c>
      <c r="R5" s="70">
        <f t="shared" si="0"/>
        <v>12</v>
      </c>
      <c r="S5" s="70">
        <f t="shared" si="0"/>
        <v>13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1:34" s="74" customFormat="1" ht="26.25" customHeight="1" x14ac:dyDescent="0.2">
      <c r="A6" s="259" t="s">
        <v>6</v>
      </c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59"/>
    </row>
    <row r="7" spans="1:34" s="79" customFormat="1" ht="32.25" customHeight="1" x14ac:dyDescent="0.25">
      <c r="A7" s="260">
        <v>1</v>
      </c>
      <c r="B7" s="84" t="s">
        <v>66</v>
      </c>
      <c r="C7" s="76" t="s">
        <v>14</v>
      </c>
      <c r="D7" s="116">
        <v>3112871.4720000001</v>
      </c>
      <c r="E7" s="116">
        <v>3112871.4720000001</v>
      </c>
      <c r="F7" s="117">
        <f>SUM(G7:I7)</f>
        <v>701009.45099999988</v>
      </c>
      <c r="G7" s="116">
        <v>211850.85699999999</v>
      </c>
      <c r="H7" s="116">
        <v>240217.06599999999</v>
      </c>
      <c r="I7" s="116">
        <v>248941.52799999999</v>
      </c>
      <c r="J7" s="116">
        <v>614919.02</v>
      </c>
      <c r="K7" s="116">
        <f>F7-J7</f>
        <v>86090.430999999866</v>
      </c>
      <c r="L7" s="193">
        <f>F7/J7*100</f>
        <v>114.0002875500582</v>
      </c>
      <c r="M7" s="116">
        <f>E7/12*3</f>
        <v>778217.86800000002</v>
      </c>
      <c r="N7" s="116">
        <f>F7-M7</f>
        <v>-77208.417000000132</v>
      </c>
      <c r="O7" s="193">
        <f>F7/M7*100</f>
        <v>90.07881723425038</v>
      </c>
      <c r="P7" s="193">
        <f>F7/E7*100</f>
        <v>22.519704308562595</v>
      </c>
      <c r="Q7" s="117">
        <v>785341.29700000002</v>
      </c>
      <c r="R7" s="118">
        <f>F7-Q7</f>
        <v>-84331.846000000136</v>
      </c>
      <c r="S7" s="119">
        <f>F7/Q7*100</f>
        <v>89.261758381719218</v>
      </c>
      <c r="T7" s="77"/>
      <c r="U7" s="77"/>
      <c r="V7" s="77">
        <f>T7-U7</f>
        <v>0</v>
      </c>
      <c r="W7" s="78" t="e">
        <f>T7/U7*100</f>
        <v>#DIV/0!</v>
      </c>
    </row>
    <row r="8" spans="1:34" s="83" customFormat="1" ht="77.25" customHeight="1" x14ac:dyDescent="0.25">
      <c r="A8" s="260"/>
      <c r="B8" s="175" t="s">
        <v>186</v>
      </c>
      <c r="C8" s="189" t="s">
        <v>185</v>
      </c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121">
        <v>220054.522</v>
      </c>
      <c r="R8" s="122">
        <f>D8-Q8</f>
        <v>-220054.522</v>
      </c>
      <c r="S8" s="123">
        <f>D8/Q8*100</f>
        <v>0</v>
      </c>
      <c r="T8" s="81"/>
      <c r="U8" s="81"/>
      <c r="V8" s="81"/>
      <c r="W8" s="82"/>
    </row>
    <row r="9" spans="1:34" s="209" customFormat="1" ht="44.25" customHeight="1" x14ac:dyDescent="0.25">
      <c r="A9" s="260"/>
      <c r="B9" s="261" t="s">
        <v>211</v>
      </c>
      <c r="C9" s="261"/>
      <c r="D9" s="203">
        <f>D7</f>
        <v>3112871.4720000001</v>
      </c>
      <c r="E9" s="203">
        <f>E7</f>
        <v>3112871.4720000001</v>
      </c>
      <c r="F9" s="203">
        <f t="shared" ref="F9:F76" si="5">SUM(G9:I9)</f>
        <v>701009.45099999988</v>
      </c>
      <c r="G9" s="203">
        <f>G7</f>
        <v>211850.85699999999</v>
      </c>
      <c r="H9" s="203">
        <f>H7</f>
        <v>240217.06599999999</v>
      </c>
      <c r="I9" s="203">
        <f>I7</f>
        <v>248941.52799999999</v>
      </c>
      <c r="J9" s="203">
        <f>J7</f>
        <v>614919.02</v>
      </c>
      <c r="K9" s="203">
        <f>F9-J9</f>
        <v>86090.430999999866</v>
      </c>
      <c r="L9" s="212">
        <f>F9/J9*100</f>
        <v>114.0002875500582</v>
      </c>
      <c r="M9" s="203">
        <f>E9/12*3</f>
        <v>778217.86800000002</v>
      </c>
      <c r="N9" s="203">
        <f>F9-M9</f>
        <v>-77208.417000000132</v>
      </c>
      <c r="O9" s="212">
        <f>F9/M9*100</f>
        <v>90.07881723425038</v>
      </c>
      <c r="P9" s="212">
        <f>F9/E9*100</f>
        <v>22.519704308562595</v>
      </c>
      <c r="Q9" s="203">
        <f>Q7-Q8</f>
        <v>565286.77500000002</v>
      </c>
      <c r="R9" s="213">
        <f t="shared" ref="R9" si="6">F9-Q9</f>
        <v>135722.67599999986</v>
      </c>
      <c r="S9" s="214">
        <f t="shared" ref="S9" si="7">F9/Q9*100</f>
        <v>124.00952613830385</v>
      </c>
      <c r="T9" s="207"/>
      <c r="U9" s="207"/>
      <c r="V9" s="207"/>
      <c r="W9" s="208"/>
    </row>
    <row r="10" spans="1:34" s="79" customFormat="1" ht="39" x14ac:dyDescent="0.25">
      <c r="A10" s="75">
        <f>A7+1</f>
        <v>2</v>
      </c>
      <c r="B10" s="84" t="s">
        <v>36</v>
      </c>
      <c r="C10" s="76" t="s">
        <v>16</v>
      </c>
      <c r="D10" s="116">
        <v>2500</v>
      </c>
      <c r="E10" s="116">
        <f>2500+300</f>
        <v>2800</v>
      </c>
      <c r="F10" s="117">
        <f t="shared" si="5"/>
        <v>2594.239</v>
      </c>
      <c r="G10" s="116">
        <v>238.74100000000001</v>
      </c>
      <c r="H10" s="116">
        <v>122.902</v>
      </c>
      <c r="I10" s="116">
        <v>2232.596</v>
      </c>
      <c r="J10" s="116">
        <v>2593</v>
      </c>
      <c r="K10" s="116">
        <f t="shared" ref="K10:K76" si="8">F10-J10</f>
        <v>1.2390000000000327</v>
      </c>
      <c r="L10" s="193">
        <f t="shared" ref="L10:L76" si="9">F10/J10*100</f>
        <v>100.04778249132281</v>
      </c>
      <c r="M10" s="116">
        <f t="shared" ref="M10:M51" si="10">E10/12*3</f>
        <v>700</v>
      </c>
      <c r="N10" s="116">
        <f t="shared" ref="N10:N76" si="11">F10-M10</f>
        <v>1894.239</v>
      </c>
      <c r="O10" s="193">
        <f t="shared" ref="O10:O76" si="12">F10/M10*100</f>
        <v>370.60557142857141</v>
      </c>
      <c r="P10" s="193">
        <f t="shared" ref="P10:P76" si="13">F10/E10*100</f>
        <v>92.651392857142852</v>
      </c>
      <c r="Q10" s="117">
        <v>955.952</v>
      </c>
      <c r="R10" s="118">
        <f t="shared" ref="R10:R41" si="14">F10-Q10</f>
        <v>1638.287</v>
      </c>
      <c r="S10" s="119">
        <f>F10/Q10*100</f>
        <v>271.37753778432392</v>
      </c>
      <c r="T10" s="77"/>
      <c r="U10" s="77"/>
      <c r="V10" s="77">
        <f>Q7/0.5</f>
        <v>1570682.594</v>
      </c>
      <c r="W10" s="78">
        <f>U10/V10*100</f>
        <v>0</v>
      </c>
    </row>
    <row r="11" spans="1:34" s="79" customFormat="1" ht="23.25" x14ac:dyDescent="0.25">
      <c r="A11" s="75">
        <v>3</v>
      </c>
      <c r="B11" s="84" t="s">
        <v>102</v>
      </c>
      <c r="C11" s="76" t="s">
        <v>103</v>
      </c>
      <c r="D11" s="116">
        <f>SUM(D12:D15)</f>
        <v>455.8</v>
      </c>
      <c r="E11" s="116">
        <f>SUM(E12:E15)</f>
        <v>455.8</v>
      </c>
      <c r="F11" s="117">
        <f t="shared" si="5"/>
        <v>62.444999999999993</v>
      </c>
      <c r="G11" s="116">
        <f t="shared" ref="G11:J11" si="15">SUM(G12:G15)</f>
        <v>0.97799999999999998</v>
      </c>
      <c r="H11" s="116">
        <f t="shared" ref="H11" si="16">SUM(H12:H15)</f>
        <v>61.451999999999991</v>
      </c>
      <c r="I11" s="116">
        <f t="shared" si="15"/>
        <v>1.4999999999999999E-2</v>
      </c>
      <c r="J11" s="116">
        <f t="shared" si="15"/>
        <v>62.156999999999996</v>
      </c>
      <c r="K11" s="116">
        <f t="shared" si="8"/>
        <v>0.2879999999999967</v>
      </c>
      <c r="L11" s="193">
        <f t="shared" si="9"/>
        <v>100.46334282542593</v>
      </c>
      <c r="M11" s="116">
        <f t="shared" si="10"/>
        <v>113.95</v>
      </c>
      <c r="N11" s="116">
        <f t="shared" si="11"/>
        <v>-51.50500000000001</v>
      </c>
      <c r="O11" s="193">
        <f t="shared" si="12"/>
        <v>54.800351031154001</v>
      </c>
      <c r="P11" s="193">
        <f t="shared" si="13"/>
        <v>13.7000877577885</v>
      </c>
      <c r="Q11" s="117">
        <f>SUM(Q12:Q15)</f>
        <v>177.87700000000001</v>
      </c>
      <c r="R11" s="118">
        <f t="shared" si="14"/>
        <v>-115.43200000000002</v>
      </c>
      <c r="S11" s="119">
        <f>F11/Q11*100</f>
        <v>35.105719120515857</v>
      </c>
      <c r="T11" s="77"/>
      <c r="U11" s="77"/>
      <c r="V11" s="77"/>
      <c r="W11" s="78"/>
    </row>
    <row r="12" spans="1:34" s="83" customFormat="1" ht="39" x14ac:dyDescent="0.25">
      <c r="A12" s="80" t="s">
        <v>104</v>
      </c>
      <c r="B12" s="174" t="s">
        <v>126</v>
      </c>
      <c r="C12" s="188" t="s">
        <v>127</v>
      </c>
      <c r="D12" s="120">
        <v>32</v>
      </c>
      <c r="E12" s="120">
        <v>32</v>
      </c>
      <c r="F12" s="121">
        <f t="shared" si="5"/>
        <v>8.84</v>
      </c>
      <c r="G12" s="120">
        <v>0</v>
      </c>
      <c r="H12" s="216">
        <v>8.84</v>
      </c>
      <c r="I12" s="120">
        <v>0</v>
      </c>
      <c r="J12" s="120">
        <v>8.8000000000000007</v>
      </c>
      <c r="K12" s="120">
        <f t="shared" si="8"/>
        <v>3.9999999999999147E-2</v>
      </c>
      <c r="L12" s="194">
        <f t="shared" si="9"/>
        <v>100.45454545454544</v>
      </c>
      <c r="M12" s="120">
        <f t="shared" si="10"/>
        <v>8</v>
      </c>
      <c r="N12" s="120">
        <f t="shared" si="11"/>
        <v>0.83999999999999986</v>
      </c>
      <c r="O12" s="194">
        <f t="shared" si="12"/>
        <v>110.5</v>
      </c>
      <c r="P12" s="194">
        <f t="shared" si="13"/>
        <v>27.625</v>
      </c>
      <c r="Q12" s="121">
        <v>4.2080000000000002</v>
      </c>
      <c r="R12" s="122">
        <f t="shared" si="14"/>
        <v>4.6319999999999997</v>
      </c>
      <c r="S12" s="123">
        <f>F12/Q12*100</f>
        <v>210.07604562737643</v>
      </c>
      <c r="T12" s="81"/>
      <c r="U12" s="81"/>
      <c r="V12" s="81"/>
      <c r="W12" s="82"/>
    </row>
    <row r="13" spans="1:34" s="83" customFormat="1" ht="58.5" x14ac:dyDescent="0.25">
      <c r="A13" s="80" t="s">
        <v>105</v>
      </c>
      <c r="B13" s="174" t="s">
        <v>97</v>
      </c>
      <c r="C13" s="67" t="s">
        <v>98</v>
      </c>
      <c r="D13" s="120">
        <v>305</v>
      </c>
      <c r="E13" s="120">
        <v>305</v>
      </c>
      <c r="F13" s="121">
        <f t="shared" si="5"/>
        <v>35.134999999999998</v>
      </c>
      <c r="G13" s="120">
        <v>0</v>
      </c>
      <c r="H13" s="216">
        <v>35.134999999999998</v>
      </c>
      <c r="I13" s="120">
        <v>0</v>
      </c>
      <c r="J13" s="120">
        <v>35</v>
      </c>
      <c r="K13" s="120">
        <f t="shared" si="8"/>
        <v>0.13499999999999801</v>
      </c>
      <c r="L13" s="194">
        <f t="shared" si="9"/>
        <v>100.38571428571427</v>
      </c>
      <c r="M13" s="120">
        <f t="shared" si="10"/>
        <v>76.25</v>
      </c>
      <c r="N13" s="120">
        <f t="shared" si="11"/>
        <v>-41.115000000000002</v>
      </c>
      <c r="O13" s="194">
        <f t="shared" si="12"/>
        <v>46.078688524590163</v>
      </c>
      <c r="P13" s="194">
        <f t="shared" si="13"/>
        <v>11.519672131147541</v>
      </c>
      <c r="Q13" s="121">
        <v>143.292</v>
      </c>
      <c r="R13" s="122">
        <f t="shared" si="14"/>
        <v>-108.15700000000001</v>
      </c>
      <c r="S13" s="123">
        <f t="shared" ref="S13:S22" si="17">F13/Q13*100</f>
        <v>24.519861541467773</v>
      </c>
    </row>
    <row r="14" spans="1:34" s="83" customFormat="1" ht="39" x14ac:dyDescent="0.25">
      <c r="A14" s="80" t="s">
        <v>106</v>
      </c>
      <c r="B14" s="174" t="s">
        <v>124</v>
      </c>
      <c r="C14" s="67" t="s">
        <v>101</v>
      </c>
      <c r="D14" s="120">
        <v>117</v>
      </c>
      <c r="E14" s="120">
        <v>117</v>
      </c>
      <c r="F14" s="121">
        <f t="shared" si="5"/>
        <v>18.286000000000001</v>
      </c>
      <c r="G14" s="120">
        <v>0.97799999999999998</v>
      </c>
      <c r="H14" s="216">
        <v>17.292999999999999</v>
      </c>
      <c r="I14" s="120">
        <v>1.4999999999999999E-2</v>
      </c>
      <c r="J14" s="120">
        <v>18.177</v>
      </c>
      <c r="K14" s="120">
        <f t="shared" si="8"/>
        <v>0.10900000000000176</v>
      </c>
      <c r="L14" s="194">
        <f t="shared" si="9"/>
        <v>100.59965890961107</v>
      </c>
      <c r="M14" s="120">
        <f t="shared" si="10"/>
        <v>29.25</v>
      </c>
      <c r="N14" s="120">
        <f t="shared" si="11"/>
        <v>-10.963999999999999</v>
      </c>
      <c r="O14" s="194">
        <f t="shared" si="12"/>
        <v>62.516239316239322</v>
      </c>
      <c r="P14" s="194">
        <f t="shared" si="13"/>
        <v>15.62905982905983</v>
      </c>
      <c r="Q14" s="121">
        <v>30.217000000000002</v>
      </c>
      <c r="R14" s="122">
        <f t="shared" si="14"/>
        <v>-11.931000000000001</v>
      </c>
      <c r="S14" s="123">
        <f t="shared" si="17"/>
        <v>60.515603799185889</v>
      </c>
    </row>
    <row r="15" spans="1:34" s="83" customFormat="1" ht="39" x14ac:dyDescent="0.25">
      <c r="A15" s="80" t="s">
        <v>128</v>
      </c>
      <c r="B15" s="174" t="s">
        <v>123</v>
      </c>
      <c r="C15" s="67" t="s">
        <v>122</v>
      </c>
      <c r="D15" s="120">
        <v>1.8</v>
      </c>
      <c r="E15" s="120">
        <v>1.8</v>
      </c>
      <c r="F15" s="121">
        <f t="shared" si="5"/>
        <v>0.184</v>
      </c>
      <c r="G15" s="120">
        <v>0</v>
      </c>
      <c r="H15" s="216">
        <v>0.184</v>
      </c>
      <c r="I15" s="120">
        <v>0</v>
      </c>
      <c r="J15" s="120">
        <v>0.18</v>
      </c>
      <c r="K15" s="120">
        <f t="shared" si="8"/>
        <v>4.0000000000000036E-3</v>
      </c>
      <c r="L15" s="194">
        <f t="shared" si="9"/>
        <v>102.22222222222221</v>
      </c>
      <c r="M15" s="120">
        <f t="shared" si="10"/>
        <v>0.44999999999999996</v>
      </c>
      <c r="N15" s="120">
        <f t="shared" si="11"/>
        <v>-0.26599999999999996</v>
      </c>
      <c r="O15" s="194">
        <f t="shared" si="12"/>
        <v>40.888888888888893</v>
      </c>
      <c r="P15" s="194">
        <f t="shared" si="13"/>
        <v>10.222222222222221</v>
      </c>
      <c r="Q15" s="121">
        <v>0.16</v>
      </c>
      <c r="R15" s="122">
        <f t="shared" si="14"/>
        <v>2.3999999999999994E-2</v>
      </c>
      <c r="S15" s="123">
        <f t="shared" si="17"/>
        <v>114.99999999999999</v>
      </c>
    </row>
    <row r="16" spans="1:34" s="79" customFormat="1" ht="33" customHeight="1" x14ac:dyDescent="0.25">
      <c r="A16" s="75">
        <v>4</v>
      </c>
      <c r="B16" s="104" t="s">
        <v>87</v>
      </c>
      <c r="C16" s="99" t="s">
        <v>86</v>
      </c>
      <c r="D16" s="116">
        <f>D17+D20</f>
        <v>459000</v>
      </c>
      <c r="E16" s="116">
        <f>E17+E20</f>
        <v>456597</v>
      </c>
      <c r="F16" s="117">
        <f t="shared" si="5"/>
        <v>100731.122</v>
      </c>
      <c r="G16" s="116">
        <f t="shared" ref="G16:J16" si="18">G17+G20</f>
        <v>40518.83</v>
      </c>
      <c r="H16" s="116">
        <f t="shared" ref="H16" si="19">H17+H20</f>
        <v>25927.567999999999</v>
      </c>
      <c r="I16" s="116">
        <f t="shared" si="18"/>
        <v>34284.724000000002</v>
      </c>
      <c r="J16" s="116">
        <f t="shared" si="18"/>
        <v>95814</v>
      </c>
      <c r="K16" s="116">
        <f t="shared" si="8"/>
        <v>4917.122000000003</v>
      </c>
      <c r="L16" s="193">
        <f t="shared" si="9"/>
        <v>105.13194522721105</v>
      </c>
      <c r="M16" s="116">
        <f t="shared" si="10"/>
        <v>114149.25</v>
      </c>
      <c r="N16" s="116">
        <f t="shared" si="11"/>
        <v>-13418.127999999997</v>
      </c>
      <c r="O16" s="193">
        <f t="shared" si="12"/>
        <v>88.245101917007787</v>
      </c>
      <c r="P16" s="193">
        <f t="shared" si="13"/>
        <v>22.061275479251947</v>
      </c>
      <c r="Q16" s="117">
        <f>Q17+Q20</f>
        <v>93075.67300000001</v>
      </c>
      <c r="R16" s="118">
        <f t="shared" si="14"/>
        <v>7655.4489999999932</v>
      </c>
      <c r="S16" s="119">
        <f t="shared" si="17"/>
        <v>108.22497302812948</v>
      </c>
    </row>
    <row r="17" spans="1:22" s="83" customFormat="1" ht="39" x14ac:dyDescent="0.25">
      <c r="A17" s="80" t="s">
        <v>118</v>
      </c>
      <c r="B17" s="174" t="s">
        <v>162</v>
      </c>
      <c r="C17" s="257" t="s">
        <v>170</v>
      </c>
      <c r="D17" s="120">
        <f>SUM(D18:D19)</f>
        <v>153000</v>
      </c>
      <c r="E17" s="120">
        <f>SUM(E18:E19)</f>
        <v>153000</v>
      </c>
      <c r="F17" s="121">
        <f t="shared" si="5"/>
        <v>36562.053999999996</v>
      </c>
      <c r="G17" s="120">
        <f t="shared" ref="G17:J17" si="20">SUM(G18:G19)</f>
        <v>13410.271999999999</v>
      </c>
      <c r="H17" s="216">
        <f t="shared" ref="H17" si="21">SUM(H18:H19)</f>
        <v>10447.123</v>
      </c>
      <c r="I17" s="120">
        <f t="shared" si="20"/>
        <v>12704.659</v>
      </c>
      <c r="J17" s="120">
        <f t="shared" si="20"/>
        <v>34960</v>
      </c>
      <c r="K17" s="120">
        <f t="shared" si="8"/>
        <v>1602.0539999999964</v>
      </c>
      <c r="L17" s="194">
        <f t="shared" si="9"/>
        <v>104.58253432494277</v>
      </c>
      <c r="M17" s="120">
        <f t="shared" si="10"/>
        <v>38250</v>
      </c>
      <c r="N17" s="120">
        <f t="shared" si="11"/>
        <v>-1687.9460000000036</v>
      </c>
      <c r="O17" s="194">
        <f t="shared" si="12"/>
        <v>95.587069281045743</v>
      </c>
      <c r="P17" s="194">
        <f t="shared" si="13"/>
        <v>23.896767320261436</v>
      </c>
      <c r="Q17" s="121">
        <f>SUM(Q18:Q19)</f>
        <v>28663.450000000004</v>
      </c>
      <c r="R17" s="122">
        <f t="shared" si="14"/>
        <v>7898.6039999999921</v>
      </c>
      <c r="S17" s="123">
        <f t="shared" si="17"/>
        <v>127.55636184757937</v>
      </c>
    </row>
    <row r="18" spans="1:22" s="83" customFormat="1" ht="39" x14ac:dyDescent="0.25">
      <c r="A18" s="80" t="s">
        <v>158</v>
      </c>
      <c r="B18" s="174" t="s">
        <v>91</v>
      </c>
      <c r="C18" s="257"/>
      <c r="D18" s="120">
        <v>34000</v>
      </c>
      <c r="E18" s="120">
        <v>34000</v>
      </c>
      <c r="F18" s="121">
        <f t="shared" si="5"/>
        <v>5473.6019999999999</v>
      </c>
      <c r="G18" s="120">
        <v>1880.6579999999999</v>
      </c>
      <c r="H18" s="216">
        <v>1575.9369999999999</v>
      </c>
      <c r="I18" s="120">
        <v>2017.0070000000001</v>
      </c>
      <c r="J18" s="120">
        <v>5360</v>
      </c>
      <c r="K18" s="120">
        <f t="shared" si="8"/>
        <v>113.60199999999986</v>
      </c>
      <c r="L18" s="194">
        <f t="shared" si="9"/>
        <v>102.11944029850746</v>
      </c>
      <c r="M18" s="120">
        <f t="shared" si="10"/>
        <v>8500</v>
      </c>
      <c r="N18" s="120">
        <f t="shared" si="11"/>
        <v>-3026.3980000000001</v>
      </c>
      <c r="O18" s="194">
        <f t="shared" si="12"/>
        <v>64.395317647058832</v>
      </c>
      <c r="P18" s="194">
        <f t="shared" si="13"/>
        <v>16.098829411764708</v>
      </c>
      <c r="Q18" s="121">
        <v>4138.3810000000003</v>
      </c>
      <c r="R18" s="122">
        <f t="shared" si="14"/>
        <v>1335.2209999999995</v>
      </c>
      <c r="S18" s="123">
        <f t="shared" si="17"/>
        <v>132.26433235605904</v>
      </c>
      <c r="T18" s="81">
        <f>Q18+Q19</f>
        <v>28663.450000000004</v>
      </c>
      <c r="U18" s="81">
        <f>F18+F19</f>
        <v>36562.053999999996</v>
      </c>
    </row>
    <row r="19" spans="1:22" s="83" customFormat="1" ht="39" x14ac:dyDescent="0.25">
      <c r="A19" s="80" t="s">
        <v>159</v>
      </c>
      <c r="B19" s="174" t="s">
        <v>92</v>
      </c>
      <c r="C19" s="257"/>
      <c r="D19" s="120">
        <v>119000</v>
      </c>
      <c r="E19" s="120">
        <v>119000</v>
      </c>
      <c r="F19" s="121">
        <f t="shared" si="5"/>
        <v>31088.451999999997</v>
      </c>
      <c r="G19" s="120">
        <v>11529.614</v>
      </c>
      <c r="H19" s="216">
        <v>8871.1859999999997</v>
      </c>
      <c r="I19" s="120">
        <v>10687.652</v>
      </c>
      <c r="J19" s="120">
        <v>29600</v>
      </c>
      <c r="K19" s="120">
        <f t="shared" si="8"/>
        <v>1488.4519999999975</v>
      </c>
      <c r="L19" s="194">
        <f t="shared" si="9"/>
        <v>105.02855405405404</v>
      </c>
      <c r="M19" s="120">
        <f t="shared" si="10"/>
        <v>29750</v>
      </c>
      <c r="N19" s="120">
        <f t="shared" si="11"/>
        <v>1338.4519999999975</v>
      </c>
      <c r="O19" s="194">
        <f t="shared" si="12"/>
        <v>104.49899831932771</v>
      </c>
      <c r="P19" s="194">
        <f t="shared" si="13"/>
        <v>26.124749579831928</v>
      </c>
      <c r="Q19" s="121">
        <v>24525.069000000003</v>
      </c>
      <c r="R19" s="122">
        <f t="shared" si="14"/>
        <v>6563.3829999999944</v>
      </c>
      <c r="S19" s="123">
        <f t="shared" si="17"/>
        <v>126.76193490016274</v>
      </c>
    </row>
    <row r="20" spans="1:22" s="83" customFormat="1" ht="39" x14ac:dyDescent="0.25">
      <c r="A20" s="80" t="s">
        <v>119</v>
      </c>
      <c r="B20" s="174" t="s">
        <v>93</v>
      </c>
      <c r="C20" s="67" t="s">
        <v>56</v>
      </c>
      <c r="D20" s="120">
        <f t="shared" ref="D20:E20" si="22">SUM(D21:D22)</f>
        <v>306000</v>
      </c>
      <c r="E20" s="120">
        <f t="shared" si="22"/>
        <v>303597</v>
      </c>
      <c r="F20" s="121">
        <f t="shared" si="5"/>
        <v>64169.067999999999</v>
      </c>
      <c r="G20" s="120">
        <f t="shared" ref="G20:J20" si="23">SUM(G21:G22)</f>
        <v>27108.558000000001</v>
      </c>
      <c r="H20" s="216">
        <f t="shared" ref="H20" si="24">SUM(H21:H22)</f>
        <v>15480.445</v>
      </c>
      <c r="I20" s="120">
        <f t="shared" si="23"/>
        <v>21580.065000000002</v>
      </c>
      <c r="J20" s="120">
        <f t="shared" si="23"/>
        <v>60854</v>
      </c>
      <c r="K20" s="120">
        <f t="shared" si="8"/>
        <v>3315.0679999999993</v>
      </c>
      <c r="L20" s="194">
        <f t="shared" si="9"/>
        <v>105.44757616590528</v>
      </c>
      <c r="M20" s="120">
        <f t="shared" si="10"/>
        <v>75899.25</v>
      </c>
      <c r="N20" s="120">
        <f t="shared" si="11"/>
        <v>-11730.182000000001</v>
      </c>
      <c r="O20" s="194">
        <f t="shared" si="12"/>
        <v>84.545062039479973</v>
      </c>
      <c r="P20" s="194">
        <f t="shared" si="13"/>
        <v>21.136265509869993</v>
      </c>
      <c r="Q20" s="121">
        <f>Q21+Q22</f>
        <v>64412.222999999998</v>
      </c>
      <c r="R20" s="122">
        <f t="shared" si="14"/>
        <v>-243.15499999999884</v>
      </c>
      <c r="S20" s="123">
        <f t="shared" si="17"/>
        <v>99.622501772683734</v>
      </c>
    </row>
    <row r="21" spans="1:22" s="83" customFormat="1" ht="104.25" customHeight="1" x14ac:dyDescent="0.25">
      <c r="A21" s="80" t="s">
        <v>160</v>
      </c>
      <c r="B21" s="174" t="s">
        <v>133</v>
      </c>
      <c r="C21" s="67">
        <v>14040100</v>
      </c>
      <c r="D21" s="120">
        <v>179000</v>
      </c>
      <c r="E21" s="120">
        <f>179000-2403</f>
        <v>176597</v>
      </c>
      <c r="F21" s="121">
        <f t="shared" si="5"/>
        <v>35488.243000000002</v>
      </c>
      <c r="G21" s="120">
        <v>15616.877</v>
      </c>
      <c r="H21" s="216">
        <v>7234.652</v>
      </c>
      <c r="I21" s="120">
        <v>12636.714</v>
      </c>
      <c r="J21" s="120">
        <v>35384</v>
      </c>
      <c r="K21" s="120">
        <f t="shared" si="8"/>
        <v>104.24300000000221</v>
      </c>
      <c r="L21" s="194">
        <f t="shared" si="9"/>
        <v>100.29460490617228</v>
      </c>
      <c r="M21" s="120">
        <f t="shared" si="10"/>
        <v>44149.25</v>
      </c>
      <c r="N21" s="120">
        <f t="shared" si="11"/>
        <v>-8661.0069999999978</v>
      </c>
      <c r="O21" s="194">
        <f t="shared" si="12"/>
        <v>80.382436847738063</v>
      </c>
      <c r="P21" s="194">
        <f t="shared" si="13"/>
        <v>20.095609211934516</v>
      </c>
      <c r="Q21" s="121">
        <v>37841.906999999999</v>
      </c>
      <c r="R21" s="122">
        <f t="shared" si="14"/>
        <v>-2353.663999999997</v>
      </c>
      <c r="S21" s="123">
        <f t="shared" si="17"/>
        <v>93.780271168680812</v>
      </c>
    </row>
    <row r="22" spans="1:22" s="83" customFormat="1" ht="78" x14ac:dyDescent="0.25">
      <c r="A22" s="80" t="s">
        <v>161</v>
      </c>
      <c r="B22" s="174" t="s">
        <v>134</v>
      </c>
      <c r="C22" s="67">
        <v>14040200</v>
      </c>
      <c r="D22" s="120">
        <v>127000</v>
      </c>
      <c r="E22" s="120">
        <v>127000</v>
      </c>
      <c r="F22" s="121">
        <f t="shared" si="5"/>
        <v>28680.825000000004</v>
      </c>
      <c r="G22" s="120">
        <v>11491.681</v>
      </c>
      <c r="H22" s="216">
        <v>8245.7929999999997</v>
      </c>
      <c r="I22" s="120">
        <v>8943.3510000000006</v>
      </c>
      <c r="J22" s="120">
        <v>25470</v>
      </c>
      <c r="K22" s="120">
        <f t="shared" si="8"/>
        <v>3210.8250000000044</v>
      </c>
      <c r="L22" s="194">
        <f t="shared" si="9"/>
        <v>112.60630153121321</v>
      </c>
      <c r="M22" s="120">
        <f t="shared" si="10"/>
        <v>31750</v>
      </c>
      <c r="N22" s="120">
        <f t="shared" si="11"/>
        <v>-3069.1749999999956</v>
      </c>
      <c r="O22" s="194">
        <f t="shared" si="12"/>
        <v>90.333307086614184</v>
      </c>
      <c r="P22" s="194">
        <f t="shared" si="13"/>
        <v>22.583326771653546</v>
      </c>
      <c r="Q22" s="121">
        <v>26570.315999999999</v>
      </c>
      <c r="R22" s="122">
        <f t="shared" si="14"/>
        <v>2110.5090000000055</v>
      </c>
      <c r="S22" s="123">
        <f t="shared" si="17"/>
        <v>107.9431083920869</v>
      </c>
    </row>
    <row r="23" spans="1:22" s="105" customFormat="1" ht="23.25" x14ac:dyDescent="0.25">
      <c r="A23" s="75">
        <v>5</v>
      </c>
      <c r="B23" s="84" t="s">
        <v>227</v>
      </c>
      <c r="C23" s="76" t="s">
        <v>136</v>
      </c>
      <c r="D23" s="116">
        <v>0</v>
      </c>
      <c r="E23" s="116">
        <v>0</v>
      </c>
      <c r="F23" s="117">
        <f t="shared" si="5"/>
        <v>1.867</v>
      </c>
      <c r="G23" s="116">
        <v>0</v>
      </c>
      <c r="H23" s="221">
        <v>0</v>
      </c>
      <c r="I23" s="116">
        <v>1.867</v>
      </c>
      <c r="J23" s="116"/>
      <c r="K23" s="116">
        <f t="shared" si="8"/>
        <v>1.867</v>
      </c>
      <c r="L23" s="193"/>
      <c r="M23" s="116">
        <f t="shared" si="10"/>
        <v>0</v>
      </c>
      <c r="N23" s="116">
        <f t="shared" si="11"/>
        <v>1.867</v>
      </c>
      <c r="O23" s="193"/>
      <c r="P23" s="193"/>
      <c r="Q23" s="117"/>
      <c r="R23" s="118">
        <f t="shared" si="14"/>
        <v>1.867</v>
      </c>
      <c r="S23" s="119"/>
      <c r="T23" s="145"/>
      <c r="U23" s="145"/>
    </row>
    <row r="24" spans="1:22" s="105" customFormat="1" ht="39" x14ac:dyDescent="0.25">
      <c r="A24" s="75">
        <v>5</v>
      </c>
      <c r="B24" s="84" t="s">
        <v>132</v>
      </c>
      <c r="C24" s="76" t="s">
        <v>38</v>
      </c>
      <c r="D24" s="116">
        <f>D25+D26+D27+D29+D28</f>
        <v>1522620.5</v>
      </c>
      <c r="E24" s="116">
        <f>E25+E26+E27+E29+E28</f>
        <v>1522620.5</v>
      </c>
      <c r="F24" s="117">
        <f t="shared" si="5"/>
        <v>413227.00699999998</v>
      </c>
      <c r="G24" s="116">
        <f t="shared" ref="G24:J24" si="25">G25+G26+G27+G29+G28</f>
        <v>166303.29399999999</v>
      </c>
      <c r="H24" s="116">
        <f t="shared" ref="H24" si="26">H25+H26+H27+H29+H28</f>
        <v>166294.84700000001</v>
      </c>
      <c r="I24" s="116">
        <f t="shared" si="25"/>
        <v>80628.866000000009</v>
      </c>
      <c r="J24" s="116">
        <f t="shared" si="25"/>
        <v>396137.59100000001</v>
      </c>
      <c r="K24" s="116">
        <f t="shared" si="8"/>
        <v>17089.415999999968</v>
      </c>
      <c r="L24" s="193">
        <f t="shared" si="9"/>
        <v>104.31401017935708</v>
      </c>
      <c r="M24" s="116">
        <f t="shared" si="10"/>
        <v>380655.125</v>
      </c>
      <c r="N24" s="116">
        <f t="shared" si="11"/>
        <v>32571.881999999983</v>
      </c>
      <c r="O24" s="193">
        <f t="shared" si="12"/>
        <v>108.5567958660743</v>
      </c>
      <c r="P24" s="193">
        <f t="shared" si="13"/>
        <v>27.139198966518574</v>
      </c>
      <c r="Q24" s="117">
        <f t="shared" ref="Q24" si="27">Q25+Q26+Q27+Q29+Q28</f>
        <v>304931.63099999999</v>
      </c>
      <c r="R24" s="118">
        <f t="shared" si="14"/>
        <v>108295.37599999999</v>
      </c>
      <c r="S24" s="119">
        <f t="shared" ref="S24:S31" si="28">F24/Q24*100</f>
        <v>135.51464164109626</v>
      </c>
      <c r="T24" s="145">
        <f>Q26+Q27+Q25</f>
        <v>96381.271000000008</v>
      </c>
      <c r="U24" s="145">
        <f>F25+F26+F27</f>
        <v>130365.219</v>
      </c>
    </row>
    <row r="25" spans="1:22" s="107" customFormat="1" ht="23.25" x14ac:dyDescent="0.25">
      <c r="A25" s="106" t="s">
        <v>193</v>
      </c>
      <c r="B25" s="175" t="s">
        <v>57</v>
      </c>
      <c r="C25" s="242" t="s">
        <v>44</v>
      </c>
      <c r="D25" s="120">
        <f>1130+29500+34000+106300</f>
        <v>170930</v>
      </c>
      <c r="E25" s="120">
        <f>1130+29500+34000+106300</f>
        <v>170930</v>
      </c>
      <c r="F25" s="121">
        <f t="shared" si="5"/>
        <v>47233.575000000004</v>
      </c>
      <c r="G25" s="120">
        <v>22984.595000000001</v>
      </c>
      <c r="H25" s="216">
        <v>12356.476000000001</v>
      </c>
      <c r="I25" s="120">
        <v>11892.504000000001</v>
      </c>
      <c r="J25" s="120">
        <v>46330.788999999997</v>
      </c>
      <c r="K25" s="120">
        <f t="shared" si="8"/>
        <v>902.78600000000733</v>
      </c>
      <c r="L25" s="194">
        <f t="shared" si="9"/>
        <v>101.94856599571401</v>
      </c>
      <c r="M25" s="120">
        <f t="shared" si="10"/>
        <v>42732.5</v>
      </c>
      <c r="N25" s="120">
        <f t="shared" si="11"/>
        <v>4501.0750000000044</v>
      </c>
      <c r="O25" s="194">
        <f t="shared" si="12"/>
        <v>110.53314222196222</v>
      </c>
      <c r="P25" s="194">
        <f t="shared" si="13"/>
        <v>27.633285555490556</v>
      </c>
      <c r="Q25" s="121">
        <v>28456.254000000001</v>
      </c>
      <c r="R25" s="122">
        <f t="shared" si="14"/>
        <v>18777.321000000004</v>
      </c>
      <c r="S25" s="123">
        <f t="shared" si="28"/>
        <v>165.98662283517712</v>
      </c>
    </row>
    <row r="26" spans="1:22" s="107" customFormat="1" ht="23.25" x14ac:dyDescent="0.25">
      <c r="A26" s="80" t="s">
        <v>194</v>
      </c>
      <c r="B26" s="175" t="s">
        <v>7</v>
      </c>
      <c r="C26" s="242"/>
      <c r="D26" s="120">
        <f>139000+145000+28500+14000</f>
        <v>326500</v>
      </c>
      <c r="E26" s="120">
        <f>139000+145000+28500+14000</f>
        <v>326500</v>
      </c>
      <c r="F26" s="121">
        <f t="shared" si="5"/>
        <v>82401.322</v>
      </c>
      <c r="G26" s="120">
        <v>22702.335999999999</v>
      </c>
      <c r="H26" s="216">
        <v>31099.098999999998</v>
      </c>
      <c r="I26" s="120">
        <v>28599.886999999999</v>
      </c>
      <c r="J26" s="120">
        <v>78915</v>
      </c>
      <c r="K26" s="120">
        <f t="shared" si="8"/>
        <v>3486.3220000000001</v>
      </c>
      <c r="L26" s="194">
        <f t="shared" si="9"/>
        <v>104.41781917252739</v>
      </c>
      <c r="M26" s="120">
        <f t="shared" si="10"/>
        <v>81625</v>
      </c>
      <c r="N26" s="120">
        <f t="shared" si="11"/>
        <v>776.32200000000012</v>
      </c>
      <c r="O26" s="194">
        <f t="shared" si="12"/>
        <v>100.95108361408882</v>
      </c>
      <c r="P26" s="194">
        <f t="shared" si="13"/>
        <v>25.237770903522204</v>
      </c>
      <c r="Q26" s="121">
        <v>67612.209000000003</v>
      </c>
      <c r="R26" s="122">
        <f t="shared" si="14"/>
        <v>14789.112999999998</v>
      </c>
      <c r="S26" s="123">
        <f t="shared" si="28"/>
        <v>121.87343560983194</v>
      </c>
    </row>
    <row r="27" spans="1:22" s="107" customFormat="1" ht="23.25" x14ac:dyDescent="0.25">
      <c r="A27" s="80" t="s">
        <v>195</v>
      </c>
      <c r="B27" s="175" t="s">
        <v>58</v>
      </c>
      <c r="C27" s="242"/>
      <c r="D27" s="120">
        <f>1000+980.5</f>
        <v>1980.5</v>
      </c>
      <c r="E27" s="120">
        <f>1000+980.5</f>
        <v>1980.5</v>
      </c>
      <c r="F27" s="121">
        <f t="shared" si="5"/>
        <v>730.32199999999989</v>
      </c>
      <c r="G27" s="120">
        <v>305.23899999999998</v>
      </c>
      <c r="H27" s="216">
        <v>303.30200000000002</v>
      </c>
      <c r="I27" s="120">
        <v>121.78100000000001</v>
      </c>
      <c r="J27" s="120">
        <v>718.5</v>
      </c>
      <c r="K27" s="120">
        <f t="shared" si="8"/>
        <v>11.821999999999889</v>
      </c>
      <c r="L27" s="194">
        <f t="shared" si="9"/>
        <v>101.64537230340986</v>
      </c>
      <c r="M27" s="120">
        <f t="shared" si="10"/>
        <v>495.125</v>
      </c>
      <c r="N27" s="120">
        <f t="shared" si="11"/>
        <v>235.19699999999989</v>
      </c>
      <c r="O27" s="194">
        <f t="shared" si="12"/>
        <v>147.50254986114615</v>
      </c>
      <c r="P27" s="194">
        <f t="shared" si="13"/>
        <v>36.875637465286538</v>
      </c>
      <c r="Q27" s="121">
        <v>312.80799999999999</v>
      </c>
      <c r="R27" s="122">
        <f t="shared" si="14"/>
        <v>417.5139999999999</v>
      </c>
      <c r="S27" s="123">
        <f t="shared" si="28"/>
        <v>233.47292908109765</v>
      </c>
      <c r="T27" s="123">
        <f>100-S27</f>
        <v>-133.47292908109765</v>
      </c>
      <c r="U27" s="108"/>
      <c r="V27" s="109" t="e">
        <f>F25/#REF!*100</f>
        <v>#REF!</v>
      </c>
    </row>
    <row r="28" spans="1:22" s="111" customFormat="1" ht="23.25" x14ac:dyDescent="0.25">
      <c r="A28" s="80" t="s">
        <v>196</v>
      </c>
      <c r="B28" s="175" t="s">
        <v>40</v>
      </c>
      <c r="C28" s="110" t="s">
        <v>39</v>
      </c>
      <c r="D28" s="120">
        <v>2710</v>
      </c>
      <c r="E28" s="120">
        <v>2710</v>
      </c>
      <c r="F28" s="121">
        <f t="shared" si="5"/>
        <v>718.976</v>
      </c>
      <c r="G28" s="120">
        <v>229.9</v>
      </c>
      <c r="H28" s="216">
        <v>363.15899999999999</v>
      </c>
      <c r="I28" s="120">
        <v>125.917</v>
      </c>
      <c r="J28" s="120">
        <v>703</v>
      </c>
      <c r="K28" s="120">
        <f t="shared" si="8"/>
        <v>15.975999999999999</v>
      </c>
      <c r="L28" s="194">
        <f t="shared" si="9"/>
        <v>102.27254623044098</v>
      </c>
      <c r="M28" s="120">
        <f t="shared" si="10"/>
        <v>677.5</v>
      </c>
      <c r="N28" s="120">
        <f t="shared" si="11"/>
        <v>41.475999999999999</v>
      </c>
      <c r="O28" s="194">
        <f t="shared" si="12"/>
        <v>106.1219188191882</v>
      </c>
      <c r="P28" s="194">
        <f t="shared" si="13"/>
        <v>26.530479704797049</v>
      </c>
      <c r="Q28" s="121">
        <v>477.72499999999997</v>
      </c>
      <c r="R28" s="120">
        <f t="shared" si="14"/>
        <v>241.25100000000003</v>
      </c>
      <c r="S28" s="123">
        <f t="shared" si="28"/>
        <v>150.49997383431892</v>
      </c>
    </row>
    <row r="29" spans="1:22" s="107" customFormat="1" ht="23.25" x14ac:dyDescent="0.25">
      <c r="A29" s="80" t="s">
        <v>197</v>
      </c>
      <c r="B29" s="175" t="s">
        <v>33</v>
      </c>
      <c r="C29" s="189" t="s">
        <v>34</v>
      </c>
      <c r="D29" s="120">
        <v>1020500</v>
      </c>
      <c r="E29" s="120">
        <v>1020500</v>
      </c>
      <c r="F29" s="121">
        <f t="shared" si="5"/>
        <v>282142.81200000003</v>
      </c>
      <c r="G29" s="120">
        <v>120081.224</v>
      </c>
      <c r="H29" s="216">
        <v>122172.811</v>
      </c>
      <c r="I29" s="120">
        <v>39888.777000000002</v>
      </c>
      <c r="J29" s="120">
        <v>269470.30200000003</v>
      </c>
      <c r="K29" s="120">
        <f t="shared" si="8"/>
        <v>12672.510000000009</v>
      </c>
      <c r="L29" s="194">
        <f t="shared" si="9"/>
        <v>104.7027482828145</v>
      </c>
      <c r="M29" s="120">
        <f t="shared" si="10"/>
        <v>255125</v>
      </c>
      <c r="N29" s="120">
        <f t="shared" si="11"/>
        <v>27017.812000000034</v>
      </c>
      <c r="O29" s="194">
        <f t="shared" si="12"/>
        <v>110.59002920137189</v>
      </c>
      <c r="P29" s="194">
        <f t="shared" si="13"/>
        <v>27.647507300342973</v>
      </c>
      <c r="Q29" s="121">
        <v>208072.63500000001</v>
      </c>
      <c r="R29" s="122">
        <f t="shared" si="14"/>
        <v>74070.177000000025</v>
      </c>
      <c r="S29" s="123">
        <f t="shared" si="28"/>
        <v>135.59823087740492</v>
      </c>
      <c r="U29" s="108"/>
      <c r="V29" s="109" t="e">
        <f>F29/#REF!*100</f>
        <v>#REF!</v>
      </c>
    </row>
    <row r="30" spans="1:22" s="79" customFormat="1" ht="39" x14ac:dyDescent="0.25">
      <c r="A30" s="75">
        <v>6</v>
      </c>
      <c r="B30" s="84" t="s">
        <v>46</v>
      </c>
      <c r="C30" s="76" t="s">
        <v>17</v>
      </c>
      <c r="D30" s="116">
        <v>1900</v>
      </c>
      <c r="E30" s="116">
        <v>1900</v>
      </c>
      <c r="F30" s="117">
        <f t="shared" si="5"/>
        <v>775.39499999999998</v>
      </c>
      <c r="G30" s="116">
        <v>73</v>
      </c>
      <c r="H30" s="116">
        <v>59.345999999999997</v>
      </c>
      <c r="I30" s="116">
        <v>643.04899999999998</v>
      </c>
      <c r="J30" s="116">
        <v>772</v>
      </c>
      <c r="K30" s="116">
        <f t="shared" si="8"/>
        <v>3.3949999999999818</v>
      </c>
      <c r="L30" s="193">
        <f t="shared" si="9"/>
        <v>100.43976683937824</v>
      </c>
      <c r="M30" s="116">
        <f t="shared" si="10"/>
        <v>475</v>
      </c>
      <c r="N30" s="116">
        <f t="shared" si="11"/>
        <v>300.39499999999998</v>
      </c>
      <c r="O30" s="193">
        <f t="shared" si="12"/>
        <v>163.24105263157895</v>
      </c>
      <c r="P30" s="193">
        <f t="shared" si="13"/>
        <v>40.810263157894738</v>
      </c>
      <c r="Q30" s="117">
        <v>381.03899999999999</v>
      </c>
      <c r="R30" s="118">
        <f t="shared" si="14"/>
        <v>394.35599999999999</v>
      </c>
      <c r="S30" s="119">
        <f t="shared" si="28"/>
        <v>203.49491784305545</v>
      </c>
      <c r="T30" s="78">
        <f>100-S30</f>
        <v>-103.49491784305545</v>
      </c>
    </row>
    <row r="31" spans="1:22" s="79" customFormat="1" ht="23.25" x14ac:dyDescent="0.25">
      <c r="A31" s="75">
        <f t="shared" ref="A31:A39" si="29">A30+1</f>
        <v>7</v>
      </c>
      <c r="B31" s="84" t="s">
        <v>70</v>
      </c>
      <c r="C31" s="76" t="s">
        <v>69</v>
      </c>
      <c r="D31" s="116">
        <v>20000</v>
      </c>
      <c r="E31" s="116">
        <v>20000</v>
      </c>
      <c r="F31" s="117">
        <f t="shared" si="5"/>
        <v>1766.6689999999999</v>
      </c>
      <c r="G31" s="116">
        <v>0</v>
      </c>
      <c r="H31" s="116">
        <v>750.99099999999999</v>
      </c>
      <c r="I31" s="116">
        <v>1015.678</v>
      </c>
      <c r="J31" s="116">
        <v>1700</v>
      </c>
      <c r="K31" s="116">
        <f t="shared" si="8"/>
        <v>66.668999999999869</v>
      </c>
      <c r="L31" s="193">
        <f t="shared" si="9"/>
        <v>103.92170588235294</v>
      </c>
      <c r="M31" s="116">
        <f t="shared" si="10"/>
        <v>5000</v>
      </c>
      <c r="N31" s="116">
        <f t="shared" si="11"/>
        <v>-3233.3310000000001</v>
      </c>
      <c r="O31" s="193">
        <f t="shared" si="12"/>
        <v>35.333379999999998</v>
      </c>
      <c r="P31" s="193">
        <f t="shared" si="13"/>
        <v>8.8333449999999996</v>
      </c>
      <c r="Q31" s="117">
        <v>30343.200000000001</v>
      </c>
      <c r="R31" s="118">
        <f t="shared" si="14"/>
        <v>-28576.531000000003</v>
      </c>
      <c r="S31" s="119">
        <f t="shared" si="28"/>
        <v>5.8222896728097231</v>
      </c>
    </row>
    <row r="32" spans="1:22" s="79" customFormat="1" ht="23.25" x14ac:dyDescent="0.25">
      <c r="A32" s="75">
        <f t="shared" si="29"/>
        <v>8</v>
      </c>
      <c r="B32" s="84" t="s">
        <v>8</v>
      </c>
      <c r="C32" s="76" t="s">
        <v>18</v>
      </c>
      <c r="D32" s="116">
        <v>500</v>
      </c>
      <c r="E32" s="116">
        <v>500</v>
      </c>
      <c r="F32" s="117">
        <f t="shared" si="5"/>
        <v>91.486000000000004</v>
      </c>
      <c r="G32" s="116">
        <v>0</v>
      </c>
      <c r="H32" s="116">
        <v>91.486000000000004</v>
      </c>
      <c r="I32" s="116">
        <v>0</v>
      </c>
      <c r="J32" s="116">
        <v>91</v>
      </c>
      <c r="K32" s="116">
        <f t="shared" si="8"/>
        <v>0.48600000000000421</v>
      </c>
      <c r="L32" s="193">
        <f t="shared" si="9"/>
        <v>100.53406593406594</v>
      </c>
      <c r="M32" s="116">
        <f t="shared" si="10"/>
        <v>125</v>
      </c>
      <c r="N32" s="116">
        <f t="shared" si="11"/>
        <v>-33.513999999999996</v>
      </c>
      <c r="O32" s="193">
        <f t="shared" si="12"/>
        <v>73.188800000000001</v>
      </c>
      <c r="P32" s="193">
        <f t="shared" si="13"/>
        <v>18.2972</v>
      </c>
      <c r="Q32" s="117">
        <v>587.97699999999998</v>
      </c>
      <c r="R32" s="118">
        <f t="shared" si="14"/>
        <v>-496.49099999999999</v>
      </c>
      <c r="S32" s="119">
        <f t="shared" ref="S32:S37" si="30">F32/Q32*100</f>
        <v>15.559452155441456</v>
      </c>
    </row>
    <row r="33" spans="1:23" s="79" customFormat="1" ht="78" x14ac:dyDescent="0.25">
      <c r="A33" s="75">
        <f t="shared" si="29"/>
        <v>9</v>
      </c>
      <c r="B33" s="181" t="s">
        <v>88</v>
      </c>
      <c r="C33" s="100" t="s">
        <v>89</v>
      </c>
      <c r="D33" s="116">
        <v>5</v>
      </c>
      <c r="E33" s="116">
        <f>5+3</f>
        <v>8</v>
      </c>
      <c r="F33" s="117">
        <f t="shared" si="5"/>
        <v>7.8159999999999998</v>
      </c>
      <c r="G33" s="116">
        <v>0</v>
      </c>
      <c r="H33" s="116">
        <v>0.30599999999999999</v>
      </c>
      <c r="I33" s="116">
        <v>7.51</v>
      </c>
      <c r="J33" s="116">
        <v>7.8</v>
      </c>
      <c r="K33" s="116">
        <f t="shared" si="8"/>
        <v>1.6000000000000014E-2</v>
      </c>
      <c r="L33" s="193">
        <f t="shared" si="9"/>
        <v>100.20512820512822</v>
      </c>
      <c r="M33" s="116">
        <f t="shared" si="10"/>
        <v>2</v>
      </c>
      <c r="N33" s="116">
        <f t="shared" si="11"/>
        <v>5.8159999999999998</v>
      </c>
      <c r="O33" s="193">
        <f t="shared" si="12"/>
        <v>390.8</v>
      </c>
      <c r="P33" s="193">
        <f t="shared" si="13"/>
        <v>97.7</v>
      </c>
      <c r="Q33" s="117">
        <v>-11.775</v>
      </c>
      <c r="R33" s="118">
        <f t="shared" si="14"/>
        <v>19.591000000000001</v>
      </c>
      <c r="S33" s="119">
        <f t="shared" si="30"/>
        <v>-66.377919320594486</v>
      </c>
    </row>
    <row r="34" spans="1:23" s="79" customFormat="1" ht="23.25" x14ac:dyDescent="0.25">
      <c r="A34" s="75">
        <f t="shared" si="29"/>
        <v>10</v>
      </c>
      <c r="B34" s="131" t="s">
        <v>30</v>
      </c>
      <c r="C34" s="76" t="s">
        <v>24</v>
      </c>
      <c r="D34" s="116">
        <v>16000</v>
      </c>
      <c r="E34" s="116">
        <v>16000</v>
      </c>
      <c r="F34" s="117">
        <f t="shared" si="5"/>
        <v>3810.5630000000001</v>
      </c>
      <c r="G34" s="116">
        <v>1249.509</v>
      </c>
      <c r="H34" s="116">
        <v>1180.684</v>
      </c>
      <c r="I34" s="116">
        <v>1380.37</v>
      </c>
      <c r="J34" s="116">
        <v>3720</v>
      </c>
      <c r="K34" s="116">
        <f t="shared" si="8"/>
        <v>90.563000000000102</v>
      </c>
      <c r="L34" s="193">
        <f t="shared" si="9"/>
        <v>102.43448924731182</v>
      </c>
      <c r="M34" s="116">
        <f t="shared" si="10"/>
        <v>4000</v>
      </c>
      <c r="N34" s="116">
        <f t="shared" si="11"/>
        <v>-189.4369999999999</v>
      </c>
      <c r="O34" s="193">
        <f t="shared" si="12"/>
        <v>95.264075000000005</v>
      </c>
      <c r="P34" s="193">
        <f t="shared" si="13"/>
        <v>23.816018750000001</v>
      </c>
      <c r="Q34" s="117">
        <v>2898.98</v>
      </c>
      <c r="R34" s="118">
        <f t="shared" si="14"/>
        <v>911.58300000000008</v>
      </c>
      <c r="S34" s="119">
        <f t="shared" si="30"/>
        <v>131.44495650194204</v>
      </c>
      <c r="T34" s="78">
        <f>100-S34</f>
        <v>-31.444956501942045</v>
      </c>
    </row>
    <row r="35" spans="1:23" s="79" customFormat="1" ht="39" x14ac:dyDescent="0.25">
      <c r="A35" s="75">
        <f t="shared" si="29"/>
        <v>11</v>
      </c>
      <c r="B35" s="131" t="s">
        <v>81</v>
      </c>
      <c r="C35" s="76" t="s">
        <v>80</v>
      </c>
      <c r="D35" s="116">
        <v>760</v>
      </c>
      <c r="E35" s="116">
        <v>760</v>
      </c>
      <c r="F35" s="117">
        <f t="shared" si="5"/>
        <v>232.6</v>
      </c>
      <c r="G35" s="116">
        <v>6.8</v>
      </c>
      <c r="H35" s="116">
        <v>119</v>
      </c>
      <c r="I35" s="116">
        <v>106.8</v>
      </c>
      <c r="J35" s="116">
        <v>218</v>
      </c>
      <c r="K35" s="116">
        <f t="shared" si="8"/>
        <v>14.599999999999994</v>
      </c>
      <c r="L35" s="193">
        <f t="shared" si="9"/>
        <v>106.69724770642202</v>
      </c>
      <c r="M35" s="116">
        <f t="shared" si="10"/>
        <v>190</v>
      </c>
      <c r="N35" s="116">
        <f t="shared" si="11"/>
        <v>42.599999999999994</v>
      </c>
      <c r="O35" s="193">
        <f t="shared" si="12"/>
        <v>122.42105263157895</v>
      </c>
      <c r="P35" s="193">
        <f t="shared" si="13"/>
        <v>30.605263157894736</v>
      </c>
      <c r="Q35" s="117">
        <v>166.245</v>
      </c>
      <c r="R35" s="118">
        <f t="shared" si="14"/>
        <v>66.35499999999999</v>
      </c>
      <c r="S35" s="119">
        <f t="shared" si="30"/>
        <v>139.91398237540977</v>
      </c>
    </row>
    <row r="36" spans="1:23" s="79" customFormat="1" ht="58.5" x14ac:dyDescent="0.25">
      <c r="A36" s="75">
        <f t="shared" si="29"/>
        <v>12</v>
      </c>
      <c r="B36" s="131" t="s">
        <v>203</v>
      </c>
      <c r="C36" s="76" t="s">
        <v>108</v>
      </c>
      <c r="D36" s="116">
        <v>21300</v>
      </c>
      <c r="E36" s="116">
        <v>21300</v>
      </c>
      <c r="F36" s="117">
        <f t="shared" si="5"/>
        <v>5787.3310000000001</v>
      </c>
      <c r="G36" s="116">
        <v>1536.7550000000001</v>
      </c>
      <c r="H36" s="116">
        <v>2469.8440000000001</v>
      </c>
      <c r="I36" s="116">
        <v>1780.732</v>
      </c>
      <c r="J36" s="116">
        <v>5625</v>
      </c>
      <c r="K36" s="116">
        <f t="shared" si="8"/>
        <v>162.33100000000013</v>
      </c>
      <c r="L36" s="193">
        <f t="shared" si="9"/>
        <v>102.88588444444444</v>
      </c>
      <c r="M36" s="116">
        <f t="shared" si="10"/>
        <v>5325</v>
      </c>
      <c r="N36" s="116">
        <f t="shared" si="11"/>
        <v>462.33100000000013</v>
      </c>
      <c r="O36" s="193">
        <f t="shared" si="12"/>
        <v>108.68227230046949</v>
      </c>
      <c r="P36" s="193">
        <f t="shared" si="13"/>
        <v>27.170568075117373</v>
      </c>
      <c r="Q36" s="117">
        <v>5041.8739999999998</v>
      </c>
      <c r="R36" s="118">
        <f t="shared" si="14"/>
        <v>745.45700000000033</v>
      </c>
      <c r="S36" s="119">
        <f t="shared" si="30"/>
        <v>114.78531593609837</v>
      </c>
    </row>
    <row r="37" spans="1:23" s="79" customFormat="1" ht="58.5" x14ac:dyDescent="0.25">
      <c r="A37" s="75">
        <f>A36+1</f>
        <v>13</v>
      </c>
      <c r="B37" s="131" t="s">
        <v>144</v>
      </c>
      <c r="C37" s="76" t="s">
        <v>143</v>
      </c>
      <c r="D37" s="116">
        <v>3800</v>
      </c>
      <c r="E37" s="116">
        <v>3800</v>
      </c>
      <c r="F37" s="117">
        <f t="shared" si="5"/>
        <v>335.34300000000002</v>
      </c>
      <c r="G37" s="116">
        <v>143.596</v>
      </c>
      <c r="H37" s="116">
        <v>99.882000000000005</v>
      </c>
      <c r="I37" s="116">
        <v>91.864999999999995</v>
      </c>
      <c r="J37" s="116">
        <v>330</v>
      </c>
      <c r="K37" s="116">
        <f t="shared" si="8"/>
        <v>5.3430000000000177</v>
      </c>
      <c r="L37" s="193">
        <f t="shared" si="9"/>
        <v>101.61909090909091</v>
      </c>
      <c r="M37" s="116">
        <f t="shared" si="10"/>
        <v>950</v>
      </c>
      <c r="N37" s="116">
        <f t="shared" si="11"/>
        <v>-614.65699999999993</v>
      </c>
      <c r="O37" s="193">
        <f t="shared" si="12"/>
        <v>35.299263157894742</v>
      </c>
      <c r="P37" s="193">
        <f t="shared" si="13"/>
        <v>8.8248157894736856</v>
      </c>
      <c r="Q37" s="117">
        <v>1392.7249999999999</v>
      </c>
      <c r="R37" s="118">
        <f t="shared" si="14"/>
        <v>-1057.3819999999998</v>
      </c>
      <c r="S37" s="119">
        <f t="shared" si="30"/>
        <v>24.078192033603191</v>
      </c>
    </row>
    <row r="38" spans="1:23" s="79" customFormat="1" ht="64.5" customHeight="1" x14ac:dyDescent="0.25">
      <c r="A38" s="75">
        <f t="shared" si="29"/>
        <v>14</v>
      </c>
      <c r="B38" s="131" t="s">
        <v>129</v>
      </c>
      <c r="C38" s="76" t="s">
        <v>130</v>
      </c>
      <c r="D38" s="116">
        <v>50</v>
      </c>
      <c r="E38" s="116">
        <v>50</v>
      </c>
      <c r="F38" s="117">
        <f t="shared" si="5"/>
        <v>12.78</v>
      </c>
      <c r="G38" s="116">
        <v>3.55</v>
      </c>
      <c r="H38" s="116">
        <v>2.84</v>
      </c>
      <c r="I38" s="116">
        <v>6.39</v>
      </c>
      <c r="J38" s="116">
        <v>12.7</v>
      </c>
      <c r="K38" s="116">
        <f t="shared" si="8"/>
        <v>8.0000000000000071E-2</v>
      </c>
      <c r="L38" s="193">
        <f t="shared" si="9"/>
        <v>100.62992125984252</v>
      </c>
      <c r="M38" s="116">
        <f t="shared" si="10"/>
        <v>12.5</v>
      </c>
      <c r="N38" s="116">
        <f t="shared" si="11"/>
        <v>0.27999999999999936</v>
      </c>
      <c r="O38" s="193">
        <f t="shared" si="12"/>
        <v>102.24</v>
      </c>
      <c r="P38" s="193">
        <f t="shared" si="13"/>
        <v>25.56</v>
      </c>
      <c r="Q38" s="117">
        <v>9.36</v>
      </c>
      <c r="R38" s="118">
        <f t="shared" si="14"/>
        <v>3.42</v>
      </c>
      <c r="S38" s="119">
        <f t="shared" ref="S38:S46" si="31">F38/Q38*100</f>
        <v>136.53846153846155</v>
      </c>
    </row>
    <row r="39" spans="1:23" s="79" customFormat="1" ht="23.25" x14ac:dyDescent="0.25">
      <c r="A39" s="75">
        <f t="shared" si="29"/>
        <v>15</v>
      </c>
      <c r="B39" s="131" t="s">
        <v>83</v>
      </c>
      <c r="C39" s="76" t="s">
        <v>82</v>
      </c>
      <c r="D39" s="116">
        <f>SUM(D40:D43)</f>
        <v>40666</v>
      </c>
      <c r="E39" s="116">
        <f>SUM(E40:E43)</f>
        <v>40666</v>
      </c>
      <c r="F39" s="117">
        <f t="shared" si="5"/>
        <v>12257.284</v>
      </c>
      <c r="G39" s="116">
        <f t="shared" ref="G39:J39" si="32">SUM(G40:G43)</f>
        <v>1954.4269999999999</v>
      </c>
      <c r="H39" s="116">
        <f t="shared" ref="H39" si="33">SUM(H40:H43)</f>
        <v>5701.3409999999994</v>
      </c>
      <c r="I39" s="116">
        <f t="shared" si="32"/>
        <v>4601.5159999999996</v>
      </c>
      <c r="J39" s="116">
        <f t="shared" si="32"/>
        <v>11931</v>
      </c>
      <c r="K39" s="116">
        <f t="shared" si="8"/>
        <v>326.28399999999965</v>
      </c>
      <c r="L39" s="193">
        <f t="shared" si="9"/>
        <v>102.73475819294275</v>
      </c>
      <c r="M39" s="116">
        <f t="shared" si="10"/>
        <v>10166.5</v>
      </c>
      <c r="N39" s="116">
        <f t="shared" si="11"/>
        <v>2090.7839999999997</v>
      </c>
      <c r="O39" s="193">
        <f t="shared" si="12"/>
        <v>120.56542566271577</v>
      </c>
      <c r="P39" s="193">
        <f t="shared" si="13"/>
        <v>30.141356415678942</v>
      </c>
      <c r="Q39" s="117">
        <f t="shared" ref="Q39" si="34">SUM(Q40:Q43)</f>
        <v>9168.4379999999983</v>
      </c>
      <c r="R39" s="118">
        <f t="shared" si="14"/>
        <v>3088.8460000000014</v>
      </c>
      <c r="S39" s="119">
        <f t="shared" si="31"/>
        <v>133.68999168669737</v>
      </c>
    </row>
    <row r="40" spans="1:23" s="83" customFormat="1" ht="39" x14ac:dyDescent="0.25">
      <c r="A40" s="80" t="s">
        <v>198</v>
      </c>
      <c r="B40" s="132" t="s">
        <v>75</v>
      </c>
      <c r="C40" s="189" t="s">
        <v>74</v>
      </c>
      <c r="D40" s="120">
        <v>1700</v>
      </c>
      <c r="E40" s="120">
        <v>1700</v>
      </c>
      <c r="F40" s="121">
        <f t="shared" si="5"/>
        <v>343.47199999999998</v>
      </c>
      <c r="G40" s="120">
        <v>93.847999999999999</v>
      </c>
      <c r="H40" s="216">
        <v>135.93199999999999</v>
      </c>
      <c r="I40" s="120">
        <v>113.69199999999999</v>
      </c>
      <c r="J40" s="120">
        <v>335</v>
      </c>
      <c r="K40" s="120">
        <f t="shared" si="8"/>
        <v>8.47199999999998</v>
      </c>
      <c r="L40" s="194">
        <f t="shared" si="9"/>
        <v>102.52895522388059</v>
      </c>
      <c r="M40" s="120">
        <f t="shared" si="10"/>
        <v>425</v>
      </c>
      <c r="N40" s="120">
        <f t="shared" si="11"/>
        <v>-81.52800000000002</v>
      </c>
      <c r="O40" s="194">
        <f t="shared" si="12"/>
        <v>80.816941176470579</v>
      </c>
      <c r="P40" s="194">
        <f t="shared" si="13"/>
        <v>20.204235294117645</v>
      </c>
      <c r="Q40" s="121">
        <v>306.839</v>
      </c>
      <c r="R40" s="122">
        <f t="shared" si="14"/>
        <v>36.632999999999981</v>
      </c>
      <c r="S40" s="123">
        <f t="shared" si="31"/>
        <v>111.93883437242332</v>
      </c>
      <c r="T40" s="123">
        <f>S40-100</f>
        <v>11.938834372423315</v>
      </c>
      <c r="U40" s="81"/>
    </row>
    <row r="41" spans="1:23" s="83" customFormat="1" ht="23.25" x14ac:dyDescent="0.25">
      <c r="A41" s="80" t="s">
        <v>199</v>
      </c>
      <c r="B41" s="133" t="s">
        <v>59</v>
      </c>
      <c r="C41" s="67" t="s">
        <v>60</v>
      </c>
      <c r="D41" s="120">
        <v>38000</v>
      </c>
      <c r="E41" s="120">
        <v>38000</v>
      </c>
      <c r="F41" s="121">
        <f t="shared" si="5"/>
        <v>11581.232</v>
      </c>
      <c r="G41" s="120">
        <v>1766.579</v>
      </c>
      <c r="H41" s="216">
        <v>5454.4589999999998</v>
      </c>
      <c r="I41" s="120">
        <v>4360.1940000000004</v>
      </c>
      <c r="J41" s="120">
        <v>11285</v>
      </c>
      <c r="K41" s="120">
        <f t="shared" si="8"/>
        <v>296.23199999999997</v>
      </c>
      <c r="L41" s="194">
        <f t="shared" si="9"/>
        <v>102.62500664599025</v>
      </c>
      <c r="M41" s="120">
        <f t="shared" si="10"/>
        <v>9500</v>
      </c>
      <c r="N41" s="120">
        <f t="shared" si="11"/>
        <v>2081.232</v>
      </c>
      <c r="O41" s="194">
        <f t="shared" si="12"/>
        <v>121.90770526315788</v>
      </c>
      <c r="P41" s="194">
        <f t="shared" si="13"/>
        <v>30.47692631578947</v>
      </c>
      <c r="Q41" s="121">
        <v>8642.2429999999986</v>
      </c>
      <c r="R41" s="122">
        <f t="shared" si="14"/>
        <v>2938.9890000000014</v>
      </c>
      <c r="S41" s="123">
        <f t="shared" si="31"/>
        <v>134.00724788692011</v>
      </c>
      <c r="T41" s="123">
        <f>S41-100</f>
        <v>34.007247886920112</v>
      </c>
      <c r="U41" s="82"/>
    </row>
    <row r="42" spans="1:23" s="83" customFormat="1" ht="39" x14ac:dyDescent="0.25">
      <c r="A42" s="80" t="s">
        <v>200</v>
      </c>
      <c r="B42" s="133" t="s">
        <v>79</v>
      </c>
      <c r="C42" s="67" t="s">
        <v>76</v>
      </c>
      <c r="D42" s="120">
        <v>850</v>
      </c>
      <c r="E42" s="120">
        <v>850</v>
      </c>
      <c r="F42" s="121">
        <f t="shared" si="5"/>
        <v>290.69</v>
      </c>
      <c r="G42" s="120">
        <v>90.97</v>
      </c>
      <c r="H42" s="216">
        <v>92.99</v>
      </c>
      <c r="I42" s="120">
        <v>106.73</v>
      </c>
      <c r="J42" s="120">
        <v>272</v>
      </c>
      <c r="K42" s="120">
        <f t="shared" si="8"/>
        <v>18.689999999999998</v>
      </c>
      <c r="L42" s="194">
        <f t="shared" si="9"/>
        <v>106.87132352941175</v>
      </c>
      <c r="M42" s="120">
        <f t="shared" si="10"/>
        <v>212.5</v>
      </c>
      <c r="N42" s="120">
        <f t="shared" si="11"/>
        <v>78.19</v>
      </c>
      <c r="O42" s="194">
        <f t="shared" si="12"/>
        <v>136.79529411764705</v>
      </c>
      <c r="P42" s="194">
        <f t="shared" si="13"/>
        <v>34.198823529411762</v>
      </c>
      <c r="Q42" s="121">
        <v>185.256</v>
      </c>
      <c r="R42" s="122">
        <f t="shared" ref="R42:R67" si="35">F42-Q42</f>
        <v>105.434</v>
      </c>
      <c r="S42" s="123">
        <f t="shared" si="31"/>
        <v>156.91259662305134</v>
      </c>
    </row>
    <row r="43" spans="1:23" s="83" customFormat="1" ht="97.5" x14ac:dyDescent="0.25">
      <c r="A43" s="80" t="s">
        <v>201</v>
      </c>
      <c r="B43" s="134" t="s">
        <v>78</v>
      </c>
      <c r="C43" s="67" t="s">
        <v>77</v>
      </c>
      <c r="D43" s="120">
        <v>116</v>
      </c>
      <c r="E43" s="120">
        <v>116</v>
      </c>
      <c r="F43" s="121">
        <f t="shared" si="5"/>
        <v>41.89</v>
      </c>
      <c r="G43" s="120">
        <v>3.03</v>
      </c>
      <c r="H43" s="216">
        <v>17.96</v>
      </c>
      <c r="I43" s="120">
        <v>20.9</v>
      </c>
      <c r="J43" s="120">
        <v>39</v>
      </c>
      <c r="K43" s="120">
        <f t="shared" si="8"/>
        <v>2.8900000000000006</v>
      </c>
      <c r="L43" s="194">
        <f t="shared" si="9"/>
        <v>107.41025641025641</v>
      </c>
      <c r="M43" s="120">
        <f t="shared" si="10"/>
        <v>29</v>
      </c>
      <c r="N43" s="120">
        <f t="shared" si="11"/>
        <v>12.89</v>
      </c>
      <c r="O43" s="194">
        <f t="shared" si="12"/>
        <v>144.44827586206895</v>
      </c>
      <c r="P43" s="194">
        <f t="shared" si="13"/>
        <v>36.112068965517238</v>
      </c>
      <c r="Q43" s="121">
        <v>34.1</v>
      </c>
      <c r="R43" s="122">
        <f t="shared" si="35"/>
        <v>7.7899999999999991</v>
      </c>
      <c r="S43" s="123">
        <f t="shared" si="31"/>
        <v>122.84457478005865</v>
      </c>
    </row>
    <row r="44" spans="1:23" s="79" customFormat="1" ht="39" x14ac:dyDescent="0.25">
      <c r="A44" s="75">
        <v>16</v>
      </c>
      <c r="B44" s="181" t="s">
        <v>35</v>
      </c>
      <c r="C44" s="76" t="s">
        <v>19</v>
      </c>
      <c r="D44" s="116">
        <v>12000</v>
      </c>
      <c r="E44" s="116">
        <v>12000</v>
      </c>
      <c r="F44" s="117">
        <f t="shared" si="5"/>
        <v>2854.4179999999997</v>
      </c>
      <c r="G44" s="116">
        <v>1306.3779999999999</v>
      </c>
      <c r="H44" s="116">
        <v>690.69200000000001</v>
      </c>
      <c r="I44" s="116">
        <v>857.34799999999996</v>
      </c>
      <c r="J44" s="116">
        <v>2852</v>
      </c>
      <c r="K44" s="116">
        <f t="shared" si="8"/>
        <v>2.4179999999996653</v>
      </c>
      <c r="L44" s="193">
        <f t="shared" si="9"/>
        <v>100.08478260869565</v>
      </c>
      <c r="M44" s="116">
        <f t="shared" si="10"/>
        <v>3000</v>
      </c>
      <c r="N44" s="116">
        <f t="shared" si="11"/>
        <v>-145.58200000000033</v>
      </c>
      <c r="O44" s="193">
        <f t="shared" si="12"/>
        <v>95.147266666666653</v>
      </c>
      <c r="P44" s="193">
        <f t="shared" si="13"/>
        <v>23.786816666666663</v>
      </c>
      <c r="Q44" s="117">
        <v>5431.9079999999994</v>
      </c>
      <c r="R44" s="118">
        <f t="shared" si="35"/>
        <v>-2577.4899999999998</v>
      </c>
      <c r="S44" s="119">
        <f t="shared" si="31"/>
        <v>52.54908588289787</v>
      </c>
      <c r="T44" s="79">
        <v>3831.8429999999998</v>
      </c>
    </row>
    <row r="45" spans="1:23" s="79" customFormat="1" ht="23.25" x14ac:dyDescent="0.25">
      <c r="A45" s="75">
        <f t="shared" ref="A45:A51" si="36">A44+1</f>
        <v>17</v>
      </c>
      <c r="B45" s="84" t="s">
        <v>54</v>
      </c>
      <c r="C45" s="76" t="s">
        <v>15</v>
      </c>
      <c r="D45" s="116">
        <v>590.10500000000002</v>
      </c>
      <c r="E45" s="116">
        <v>590.10500000000002</v>
      </c>
      <c r="F45" s="117">
        <f t="shared" si="5"/>
        <v>227.27199999999999</v>
      </c>
      <c r="G45" s="116">
        <v>41.896999999999998</v>
      </c>
      <c r="H45" s="116">
        <v>55.648000000000003</v>
      </c>
      <c r="I45" s="116">
        <v>129.727</v>
      </c>
      <c r="J45" s="116">
        <v>224.161</v>
      </c>
      <c r="K45" s="116">
        <f t="shared" si="8"/>
        <v>3.11099999999999</v>
      </c>
      <c r="L45" s="193">
        <f t="shared" si="9"/>
        <v>101.38784177443891</v>
      </c>
      <c r="M45" s="116">
        <f t="shared" si="10"/>
        <v>147.52625</v>
      </c>
      <c r="N45" s="116">
        <f t="shared" si="11"/>
        <v>79.745749999999987</v>
      </c>
      <c r="O45" s="193">
        <f t="shared" si="12"/>
        <v>154.05529524406671</v>
      </c>
      <c r="P45" s="193">
        <f t="shared" si="13"/>
        <v>38.513823811016678</v>
      </c>
      <c r="Q45" s="117">
        <v>254.27600000000001</v>
      </c>
      <c r="R45" s="118">
        <f t="shared" si="35"/>
        <v>-27.004000000000019</v>
      </c>
      <c r="S45" s="119">
        <f t="shared" si="31"/>
        <v>89.380043732007735</v>
      </c>
      <c r="T45" s="78">
        <f>100-S45</f>
        <v>10.619956267992265</v>
      </c>
    </row>
    <row r="46" spans="1:23" s="79" customFormat="1" ht="78" x14ac:dyDescent="0.25">
      <c r="A46" s="75">
        <f t="shared" si="36"/>
        <v>18</v>
      </c>
      <c r="B46" s="84" t="s">
        <v>95</v>
      </c>
      <c r="C46" s="76" t="s">
        <v>94</v>
      </c>
      <c r="D46" s="116">
        <v>31</v>
      </c>
      <c r="E46" s="116">
        <v>31</v>
      </c>
      <c r="F46" s="117">
        <f t="shared" si="5"/>
        <v>6.8310000000000004</v>
      </c>
      <c r="G46" s="116">
        <v>0.56399999999999995</v>
      </c>
      <c r="H46" s="116">
        <v>0</v>
      </c>
      <c r="I46" s="116">
        <v>6.2670000000000003</v>
      </c>
      <c r="J46" s="116">
        <v>6.76</v>
      </c>
      <c r="K46" s="116">
        <f t="shared" si="8"/>
        <v>7.1000000000000618E-2</v>
      </c>
      <c r="L46" s="193">
        <f t="shared" si="9"/>
        <v>101.05029585798817</v>
      </c>
      <c r="M46" s="116">
        <f t="shared" si="10"/>
        <v>7.75</v>
      </c>
      <c r="N46" s="116">
        <f t="shared" si="11"/>
        <v>-0.91899999999999959</v>
      </c>
      <c r="O46" s="193">
        <f t="shared" si="12"/>
        <v>88.141935483870967</v>
      </c>
      <c r="P46" s="193">
        <f t="shared" si="13"/>
        <v>22.035483870967742</v>
      </c>
      <c r="Q46" s="117">
        <v>2.472</v>
      </c>
      <c r="R46" s="118">
        <f t="shared" si="35"/>
        <v>4.359</v>
      </c>
      <c r="S46" s="119">
        <f t="shared" si="31"/>
        <v>276.3349514563107</v>
      </c>
    </row>
    <row r="47" spans="1:23" s="79" customFormat="1" ht="23.25" x14ac:dyDescent="0.25">
      <c r="A47" s="75">
        <f t="shared" si="36"/>
        <v>19</v>
      </c>
      <c r="B47" s="104" t="s">
        <v>61</v>
      </c>
      <c r="C47" s="32" t="s">
        <v>62</v>
      </c>
      <c r="D47" s="116">
        <v>500</v>
      </c>
      <c r="E47" s="116">
        <v>500</v>
      </c>
      <c r="F47" s="117">
        <f t="shared" si="5"/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f t="shared" si="8"/>
        <v>0</v>
      </c>
      <c r="L47" s="193"/>
      <c r="M47" s="116">
        <f t="shared" si="10"/>
        <v>125</v>
      </c>
      <c r="N47" s="116">
        <f t="shared" si="11"/>
        <v>-125</v>
      </c>
      <c r="O47" s="193">
        <f t="shared" si="12"/>
        <v>0</v>
      </c>
      <c r="P47" s="193">
        <f t="shared" si="13"/>
        <v>0</v>
      </c>
      <c r="Q47" s="117">
        <v>2.3719999999999999</v>
      </c>
      <c r="R47" s="118">
        <f t="shared" si="35"/>
        <v>-2.3719999999999999</v>
      </c>
      <c r="S47" s="119"/>
    </row>
    <row r="48" spans="1:23" s="79" customFormat="1" ht="23.25" x14ac:dyDescent="0.25">
      <c r="A48" s="75">
        <f t="shared" si="36"/>
        <v>20</v>
      </c>
      <c r="B48" s="84" t="s">
        <v>8</v>
      </c>
      <c r="C48" s="76" t="s">
        <v>20</v>
      </c>
      <c r="D48" s="116">
        <v>1700</v>
      </c>
      <c r="E48" s="116">
        <f>1700+2100</f>
        <v>3800</v>
      </c>
      <c r="F48" s="117">
        <f t="shared" si="5"/>
        <v>3021.1179999999999</v>
      </c>
      <c r="G48" s="116">
        <v>1390.5519999999999</v>
      </c>
      <c r="H48" s="116">
        <v>786.19399999999996</v>
      </c>
      <c r="I48" s="116">
        <v>844.37199999999996</v>
      </c>
      <c r="J48" s="116">
        <v>3018.8</v>
      </c>
      <c r="K48" s="116">
        <f t="shared" si="8"/>
        <v>2.3179999999997563</v>
      </c>
      <c r="L48" s="193">
        <f t="shared" si="9"/>
        <v>100.07678547767324</v>
      </c>
      <c r="M48" s="116">
        <f t="shared" si="10"/>
        <v>950</v>
      </c>
      <c r="N48" s="116">
        <f t="shared" si="11"/>
        <v>2071.1179999999999</v>
      </c>
      <c r="O48" s="193">
        <f t="shared" si="12"/>
        <v>318.01242105263157</v>
      </c>
      <c r="P48" s="193">
        <f t="shared" si="13"/>
        <v>79.503105263157892</v>
      </c>
      <c r="Q48" s="117">
        <v>800.72900000000004</v>
      </c>
      <c r="R48" s="118">
        <f t="shared" si="35"/>
        <v>2220.3890000000001</v>
      </c>
      <c r="S48" s="119">
        <f>F48/Q48*100</f>
        <v>377.29593907551742</v>
      </c>
      <c r="W48" s="79">
        <v>246438.04</v>
      </c>
    </row>
    <row r="49" spans="1:26" s="79" customFormat="1" ht="136.5" x14ac:dyDescent="0.25">
      <c r="A49" s="75">
        <f t="shared" si="36"/>
        <v>21</v>
      </c>
      <c r="B49" s="84" t="s">
        <v>53</v>
      </c>
      <c r="C49" s="76" t="s">
        <v>47</v>
      </c>
      <c r="D49" s="116">
        <v>2500</v>
      </c>
      <c r="E49" s="116">
        <v>2500</v>
      </c>
      <c r="F49" s="117">
        <f t="shared" si="5"/>
        <v>1127.991</v>
      </c>
      <c r="G49" s="116">
        <v>126.11199999999999</v>
      </c>
      <c r="H49" s="116">
        <v>857.42499999999995</v>
      </c>
      <c r="I49" s="116">
        <v>144.45400000000001</v>
      </c>
      <c r="J49" s="116">
        <v>1126</v>
      </c>
      <c r="K49" s="116">
        <f t="shared" si="8"/>
        <v>1.9909999999999854</v>
      </c>
      <c r="L49" s="193">
        <f t="shared" si="9"/>
        <v>100.17682060390764</v>
      </c>
      <c r="M49" s="116">
        <f t="shared" si="10"/>
        <v>625</v>
      </c>
      <c r="N49" s="116">
        <f t="shared" si="11"/>
        <v>502.99099999999999</v>
      </c>
      <c r="O49" s="193">
        <f t="shared" si="12"/>
        <v>180.47855999999999</v>
      </c>
      <c r="P49" s="193">
        <f t="shared" si="13"/>
        <v>45.119639999999997</v>
      </c>
      <c r="Q49" s="117">
        <v>2023.71</v>
      </c>
      <c r="R49" s="118">
        <f t="shared" si="35"/>
        <v>-895.71900000000005</v>
      </c>
      <c r="S49" s="119">
        <f>F49/Q49*100</f>
        <v>55.738766918184915</v>
      </c>
    </row>
    <row r="50" spans="1:26" s="79" customFormat="1" ht="78" x14ac:dyDescent="0.25">
      <c r="A50" s="75">
        <f t="shared" si="36"/>
        <v>22</v>
      </c>
      <c r="B50" s="84" t="s">
        <v>121</v>
      </c>
      <c r="C50" s="76" t="s">
        <v>120</v>
      </c>
      <c r="D50" s="116">
        <v>0.25</v>
      </c>
      <c r="E50" s="116">
        <v>0.25</v>
      </c>
      <c r="F50" s="117">
        <f t="shared" si="5"/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f t="shared" si="8"/>
        <v>0</v>
      </c>
      <c r="L50" s="193"/>
      <c r="M50" s="116">
        <f t="shared" si="10"/>
        <v>6.25E-2</v>
      </c>
      <c r="N50" s="116">
        <f t="shared" si="11"/>
        <v>-6.25E-2</v>
      </c>
      <c r="O50" s="193">
        <f t="shared" si="12"/>
        <v>0</v>
      </c>
      <c r="P50" s="193">
        <f t="shared" si="13"/>
        <v>0</v>
      </c>
      <c r="Q50" s="117">
        <v>0</v>
      </c>
      <c r="R50" s="118">
        <f t="shared" si="35"/>
        <v>0</v>
      </c>
      <c r="S50" s="119"/>
      <c r="U50" s="77">
        <f>F52-F48</f>
        <v>1246919.9100000001</v>
      </c>
      <c r="V50" s="77">
        <f>Q52-Q48</f>
        <v>1242175.2310000008</v>
      </c>
      <c r="W50" s="78">
        <f>U50/V50</f>
        <v>1.0038196535251951</v>
      </c>
    </row>
    <row r="51" spans="1:26" s="79" customFormat="1" ht="39" x14ac:dyDescent="0.25">
      <c r="A51" s="75">
        <f t="shared" si="36"/>
        <v>23</v>
      </c>
      <c r="B51" s="84" t="s">
        <v>85</v>
      </c>
      <c r="C51" s="76" t="s">
        <v>84</v>
      </c>
      <c r="D51" s="116">
        <v>0.25</v>
      </c>
      <c r="E51" s="116">
        <v>0.25</v>
      </c>
      <c r="F51" s="117">
        <f t="shared" si="5"/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f t="shared" si="8"/>
        <v>0</v>
      </c>
      <c r="L51" s="193"/>
      <c r="M51" s="116">
        <f t="shared" si="10"/>
        <v>6.25E-2</v>
      </c>
      <c r="N51" s="116">
        <f t="shared" si="11"/>
        <v>-6.25E-2</v>
      </c>
      <c r="O51" s="193">
        <f t="shared" si="12"/>
        <v>0</v>
      </c>
      <c r="P51" s="193">
        <f t="shared" si="13"/>
        <v>0</v>
      </c>
      <c r="Q51" s="117">
        <v>0</v>
      </c>
      <c r="R51" s="118">
        <f t="shared" si="35"/>
        <v>0</v>
      </c>
      <c r="S51" s="119"/>
    </row>
    <row r="52" spans="1:26" s="89" customFormat="1" ht="28.5" customHeight="1" x14ac:dyDescent="0.3">
      <c r="A52" s="258" t="s">
        <v>165</v>
      </c>
      <c r="B52" s="258"/>
      <c r="C52" s="258"/>
      <c r="D52" s="86">
        <f>D7+D10+D11+D16+D24+D30+D31+D32+D33+D34+D35+D36+D39+D44+D45+D46+D47+D48+D49+D51+D50+D38+D37</f>
        <v>5219750.3770000003</v>
      </c>
      <c r="E52" s="86">
        <f>E7+E10+E11+E16+E24+E30+E31+E32+E33+E34+E35+E36+E39+E44+E45+E46+E47+E48+E49+E51+E50+E38+E37</f>
        <v>5219750.3770000003</v>
      </c>
      <c r="F52" s="86">
        <f t="shared" si="5"/>
        <v>1249941.0280000002</v>
      </c>
      <c r="G52" s="86">
        <f>G7+G10+G11+G16+G24+G30+G31+G32+G33+G34+G35+G36+G39+G44+G45+G46+G47+G48+G49+G51+G50+G38+G37+G23</f>
        <v>426745.84000000014</v>
      </c>
      <c r="H52" s="86">
        <f>H7+H10+H11+H16+H24+H30+H31+H32+H33+H34+H35+H36+H39+H44+H45+H46+H47+H48+H49+H51+H50+H38+H37+H23</f>
        <v>445489.51399999997</v>
      </c>
      <c r="I52" s="86">
        <f>I7+I10+I11+I16+I24+I30+I31+I32+I33+I34+I35+I36+I39+I44+I45+I46+I47+I48+I49+I51+I50+I38+I37+I23</f>
        <v>377705.67400000012</v>
      </c>
      <c r="J52" s="86">
        <f>J7+J10+J11+J16+J24+J30+J31+J32+J33+J34+J35+J36+J39+J44+J45+J46+J47+J48+J49+J51+J50+J38+J37</f>
        <v>1141160.9890000003</v>
      </c>
      <c r="K52" s="86">
        <f t="shared" si="8"/>
        <v>108780.03899999987</v>
      </c>
      <c r="L52" s="195">
        <f t="shared" si="9"/>
        <v>109.53240077855482</v>
      </c>
      <c r="M52" s="86">
        <f>M7+M10+M11+M16+M24+M30+M31+M32+M33+M34+M35+M36+M39+M44+M45+M46+M47+M48+M49+M51+M50+M38+M37</f>
        <v>1304937.5942500001</v>
      </c>
      <c r="N52" s="86">
        <f t="shared" si="11"/>
        <v>-54996.566249999916</v>
      </c>
      <c r="O52" s="195">
        <f t="shared" si="12"/>
        <v>95.785502196248046</v>
      </c>
      <c r="P52" s="195">
        <f t="shared" si="13"/>
        <v>23.946375549062012</v>
      </c>
      <c r="Q52" s="86">
        <f>Q7+Q10+Q11+Q16+Q24+Q30+Q31+Q32+Q33+Q34+Q35+Q36+Q39+Q44+Q45+Q46+Q47+Q48+Q49+Q51+Q50+Q38+Q23+Q37</f>
        <v>1242975.9600000009</v>
      </c>
      <c r="R52" s="87">
        <f t="shared" si="35"/>
        <v>6965.0679999992717</v>
      </c>
      <c r="S52" s="88">
        <f>F52/Q52*100</f>
        <v>100.56035420025333</v>
      </c>
      <c r="T52" s="90">
        <v>1242975.96</v>
      </c>
      <c r="U52" s="90">
        <f>T52-Q52</f>
        <v>0</v>
      </c>
      <c r="X52" s="90" t="e">
        <f>#REF!-#REF!-#REF!</f>
        <v>#REF!</v>
      </c>
      <c r="Z52" s="89">
        <v>294547.38299999997</v>
      </c>
    </row>
    <row r="53" spans="1:26" s="89" customFormat="1" ht="50.25" customHeight="1" x14ac:dyDescent="0.3">
      <c r="A53" s="258" t="s">
        <v>187</v>
      </c>
      <c r="B53" s="258"/>
      <c r="C53" s="258"/>
      <c r="D53" s="86">
        <f>D52</f>
        <v>5219750.3770000003</v>
      </c>
      <c r="E53" s="86">
        <f>E52</f>
        <v>5219750.3770000003</v>
      </c>
      <c r="F53" s="86">
        <f t="shared" si="5"/>
        <v>1249941.0280000002</v>
      </c>
      <c r="G53" s="86">
        <f>G52</f>
        <v>426745.84000000014</v>
      </c>
      <c r="H53" s="86">
        <f>H52</f>
        <v>445489.51399999997</v>
      </c>
      <c r="I53" s="86">
        <f>I52</f>
        <v>377705.67400000012</v>
      </c>
      <c r="J53" s="86">
        <f>J52</f>
        <v>1141160.9890000003</v>
      </c>
      <c r="K53" s="86">
        <f t="shared" si="8"/>
        <v>108780.03899999987</v>
      </c>
      <c r="L53" s="195">
        <f t="shared" si="9"/>
        <v>109.53240077855482</v>
      </c>
      <c r="M53" s="86">
        <f>M52</f>
        <v>1304937.5942500001</v>
      </c>
      <c r="N53" s="86">
        <f t="shared" si="11"/>
        <v>-54996.566249999916</v>
      </c>
      <c r="O53" s="195">
        <f t="shared" si="12"/>
        <v>95.785502196248046</v>
      </c>
      <c r="P53" s="195">
        <f t="shared" si="13"/>
        <v>23.946375549062012</v>
      </c>
      <c r="Q53" s="86">
        <f>Q52-Q8</f>
        <v>1022921.4380000009</v>
      </c>
      <c r="R53" s="87">
        <f t="shared" si="35"/>
        <v>227019.58999999927</v>
      </c>
      <c r="S53" s="88">
        <f>F53/Q53*100</f>
        <v>122.19325762141267</v>
      </c>
      <c r="T53" s="90"/>
      <c r="U53" s="90"/>
      <c r="X53" s="90"/>
    </row>
    <row r="54" spans="1:26" s="9" customFormat="1" ht="83.25" customHeight="1" x14ac:dyDescent="0.25">
      <c r="A54" s="23">
        <v>1</v>
      </c>
      <c r="B54" s="59" t="s">
        <v>212</v>
      </c>
      <c r="C54" s="24" t="s">
        <v>213</v>
      </c>
      <c r="D54" s="124"/>
      <c r="E54" s="124"/>
      <c r="F54" s="117">
        <f t="shared" si="5"/>
        <v>0</v>
      </c>
      <c r="G54" s="116"/>
      <c r="H54" s="116"/>
      <c r="I54" s="116"/>
      <c r="J54" s="116">
        <v>0</v>
      </c>
      <c r="K54" s="221">
        <f t="shared" si="8"/>
        <v>0</v>
      </c>
      <c r="L54" s="193"/>
      <c r="M54" s="116"/>
      <c r="N54" s="221">
        <f t="shared" si="11"/>
        <v>0</v>
      </c>
      <c r="O54" s="193"/>
      <c r="P54" s="193"/>
      <c r="Q54" s="117">
        <v>2748.9</v>
      </c>
      <c r="R54" s="118">
        <f t="shared" ref="R54" si="37">F54-Q54</f>
        <v>-2748.9</v>
      </c>
      <c r="S54" s="119">
        <f>F54/Q54*100</f>
        <v>0</v>
      </c>
      <c r="T54" s="40"/>
      <c r="U54" s="40"/>
      <c r="V54" s="40"/>
      <c r="W54" s="42"/>
    </row>
    <row r="55" spans="1:26" s="9" customFormat="1" ht="23.25" x14ac:dyDescent="0.25">
      <c r="A55" s="23">
        <f>A54+1</f>
        <v>2</v>
      </c>
      <c r="B55" s="59" t="s">
        <v>150</v>
      </c>
      <c r="C55" s="24" t="s">
        <v>55</v>
      </c>
      <c r="D55" s="124">
        <v>879086.1</v>
      </c>
      <c r="E55" s="124">
        <v>879086.1</v>
      </c>
      <c r="F55" s="117">
        <f t="shared" si="5"/>
        <v>196148</v>
      </c>
      <c r="G55" s="116">
        <v>63808.4</v>
      </c>
      <c r="H55" s="116">
        <v>63802.3</v>
      </c>
      <c r="I55" s="116">
        <v>68537.3</v>
      </c>
      <c r="J55" s="116">
        <v>196148</v>
      </c>
      <c r="K55" s="116">
        <f t="shared" si="8"/>
        <v>0</v>
      </c>
      <c r="L55" s="193">
        <f t="shared" si="9"/>
        <v>100</v>
      </c>
      <c r="M55" s="116">
        <f>J55</f>
        <v>196148</v>
      </c>
      <c r="N55" s="116">
        <f t="shared" si="11"/>
        <v>0</v>
      </c>
      <c r="O55" s="193">
        <f t="shared" si="12"/>
        <v>100</v>
      </c>
      <c r="P55" s="193">
        <f t="shared" si="13"/>
        <v>22.31271771900386</v>
      </c>
      <c r="Q55" s="117">
        <v>174347.7</v>
      </c>
      <c r="R55" s="118">
        <f t="shared" si="35"/>
        <v>21800.299999999988</v>
      </c>
      <c r="S55" s="119">
        <f>F55/Q55*100</f>
        <v>112.50392176094091</v>
      </c>
      <c r="T55" s="40"/>
      <c r="U55" s="40"/>
      <c r="V55" s="40"/>
      <c r="W55" s="42"/>
    </row>
    <row r="56" spans="1:26" s="9" customFormat="1" ht="23.25" x14ac:dyDescent="0.25">
      <c r="A56" s="23">
        <f t="shared" ref="A56:A60" si="38">A55+1</f>
        <v>3</v>
      </c>
      <c r="B56" s="59" t="s">
        <v>205</v>
      </c>
      <c r="C56" s="24" t="s">
        <v>204</v>
      </c>
      <c r="D56" s="124"/>
      <c r="E56" s="124">
        <v>561.92399999999998</v>
      </c>
      <c r="F56" s="117">
        <f t="shared" si="5"/>
        <v>561.92399999999998</v>
      </c>
      <c r="G56" s="116">
        <v>0</v>
      </c>
      <c r="H56" s="116">
        <v>561.92399999999998</v>
      </c>
      <c r="I56" s="116"/>
      <c r="J56" s="116">
        <v>561.92399999999998</v>
      </c>
      <c r="K56" s="116">
        <f t="shared" si="8"/>
        <v>0</v>
      </c>
      <c r="L56" s="193">
        <f t="shared" si="9"/>
        <v>100</v>
      </c>
      <c r="M56" s="116">
        <f>J56</f>
        <v>561.92399999999998</v>
      </c>
      <c r="N56" s="116">
        <f t="shared" ref="N56" si="39">F56-M56</f>
        <v>0</v>
      </c>
      <c r="O56" s="193">
        <f t="shared" ref="O56" si="40">F56/M56*100</f>
        <v>100</v>
      </c>
      <c r="P56" s="193">
        <f t="shared" ref="P56" si="41">F56/E56*100</f>
        <v>100</v>
      </c>
      <c r="Q56" s="117">
        <v>0</v>
      </c>
      <c r="R56" s="118">
        <f t="shared" si="35"/>
        <v>561.92399999999998</v>
      </c>
      <c r="S56" s="119"/>
      <c r="T56" s="40"/>
      <c r="U56" s="40"/>
      <c r="V56" s="40"/>
      <c r="W56" s="42"/>
    </row>
    <row r="57" spans="1:26" s="9" customFormat="1" ht="39" x14ac:dyDescent="0.25">
      <c r="A57" s="23">
        <f t="shared" si="38"/>
        <v>4</v>
      </c>
      <c r="B57" s="178" t="s">
        <v>151</v>
      </c>
      <c r="C57" s="143" t="s">
        <v>117</v>
      </c>
      <c r="D57" s="124">
        <v>23435.05</v>
      </c>
      <c r="E57" s="124">
        <v>23435.05</v>
      </c>
      <c r="F57" s="117">
        <f t="shared" si="5"/>
        <v>5228.8949999999995</v>
      </c>
      <c r="G57" s="116">
        <v>1701.0619999999999</v>
      </c>
      <c r="H57" s="116">
        <v>1700.758</v>
      </c>
      <c r="I57" s="116">
        <v>1827.075</v>
      </c>
      <c r="J57" s="116">
        <v>5228.8950000000004</v>
      </c>
      <c r="K57" s="116">
        <f t="shared" si="8"/>
        <v>0</v>
      </c>
      <c r="L57" s="193">
        <f t="shared" si="9"/>
        <v>99.999999999999972</v>
      </c>
      <c r="M57" s="116">
        <f t="shared" ref="M57:M63" si="42">J57</f>
        <v>5228.8950000000004</v>
      </c>
      <c r="N57" s="116">
        <f t="shared" si="11"/>
        <v>0</v>
      </c>
      <c r="O57" s="193">
        <f t="shared" si="12"/>
        <v>99.999999999999972</v>
      </c>
      <c r="P57" s="193">
        <f t="shared" si="13"/>
        <v>22.312284377460255</v>
      </c>
      <c r="Q57" s="117">
        <v>4102.6450000000004</v>
      </c>
      <c r="R57" s="118">
        <f t="shared" si="35"/>
        <v>1126.2499999999991</v>
      </c>
      <c r="S57" s="119">
        <f>F57/Q57*100</f>
        <v>127.45180243477073</v>
      </c>
    </row>
    <row r="58" spans="1:26" s="9" customFormat="1" ht="58.5" x14ac:dyDescent="0.25">
      <c r="A58" s="23">
        <f t="shared" si="38"/>
        <v>5</v>
      </c>
      <c r="B58" s="178" t="s">
        <v>152</v>
      </c>
      <c r="C58" s="143">
        <v>41051200</v>
      </c>
      <c r="D58" s="124">
        <v>0</v>
      </c>
      <c r="E58" s="124">
        <v>0</v>
      </c>
      <c r="F58" s="117">
        <f t="shared" si="5"/>
        <v>0</v>
      </c>
      <c r="G58" s="116">
        <v>0</v>
      </c>
      <c r="H58" s="116">
        <v>0</v>
      </c>
      <c r="I58" s="116"/>
      <c r="J58" s="116">
        <v>0</v>
      </c>
      <c r="K58" s="116">
        <f t="shared" si="8"/>
        <v>0</v>
      </c>
      <c r="L58" s="193"/>
      <c r="M58" s="116">
        <f t="shared" si="42"/>
        <v>0</v>
      </c>
      <c r="N58" s="116">
        <f t="shared" si="11"/>
        <v>0</v>
      </c>
      <c r="O58" s="193"/>
      <c r="P58" s="193"/>
      <c r="Q58" s="117">
        <v>653.45400000000006</v>
      </c>
      <c r="R58" s="118">
        <f t="shared" si="35"/>
        <v>-653.45400000000006</v>
      </c>
      <c r="S58" s="119">
        <f>F58/Q58*100</f>
        <v>0</v>
      </c>
    </row>
    <row r="59" spans="1:26" s="9" customFormat="1" ht="58.5" x14ac:dyDescent="0.25">
      <c r="A59" s="23">
        <f t="shared" si="38"/>
        <v>6</v>
      </c>
      <c r="B59" s="178" t="s">
        <v>214</v>
      </c>
      <c r="C59" s="143" t="s">
        <v>215</v>
      </c>
      <c r="D59" s="124"/>
      <c r="E59" s="124"/>
      <c r="F59" s="117"/>
      <c r="G59" s="116"/>
      <c r="H59" s="116"/>
      <c r="I59" s="116"/>
      <c r="J59" s="116">
        <v>0</v>
      </c>
      <c r="K59" s="221">
        <f t="shared" si="8"/>
        <v>0</v>
      </c>
      <c r="L59" s="193"/>
      <c r="M59" s="221">
        <f t="shared" si="42"/>
        <v>0</v>
      </c>
      <c r="N59" s="221">
        <f t="shared" si="11"/>
        <v>0</v>
      </c>
      <c r="O59" s="193"/>
      <c r="P59" s="193"/>
      <c r="Q59" s="117">
        <v>2073.1129999999998</v>
      </c>
      <c r="R59" s="118">
        <f t="shared" si="35"/>
        <v>-2073.1129999999998</v>
      </c>
      <c r="S59" s="119"/>
    </row>
    <row r="60" spans="1:26" s="9" customFormat="1" ht="23.25" x14ac:dyDescent="0.25">
      <c r="A60" s="23">
        <f t="shared" si="38"/>
        <v>7</v>
      </c>
      <c r="B60" s="179" t="s">
        <v>153</v>
      </c>
      <c r="C60" s="143" t="s">
        <v>109</v>
      </c>
      <c r="D60" s="124">
        <f>SUM(D61:D66)</f>
        <v>1982.317</v>
      </c>
      <c r="E60" s="124">
        <f>SUM(E61:E66)</f>
        <v>2204.922</v>
      </c>
      <c r="F60" s="117">
        <f t="shared" si="5"/>
        <v>461.60299999999995</v>
      </c>
      <c r="G60" s="116">
        <f>SUM(G61:G66)</f>
        <v>0</v>
      </c>
      <c r="H60" s="116">
        <f>SUM(H61:H66)</f>
        <v>129.971</v>
      </c>
      <c r="I60" s="116">
        <f>SUM(I61:I66)</f>
        <v>331.63199999999995</v>
      </c>
      <c r="J60" s="116">
        <f>SUM(J61:J66)</f>
        <v>653.62099999999998</v>
      </c>
      <c r="K60" s="116">
        <f t="shared" si="8"/>
        <v>-192.01800000000003</v>
      </c>
      <c r="L60" s="193">
        <f t="shared" si="9"/>
        <v>70.622424922087873</v>
      </c>
      <c r="M60" s="116">
        <f t="shared" si="42"/>
        <v>653.62099999999998</v>
      </c>
      <c r="N60" s="116">
        <f t="shared" si="11"/>
        <v>-192.01800000000003</v>
      </c>
      <c r="O60" s="193">
        <f t="shared" si="12"/>
        <v>70.622424922087873</v>
      </c>
      <c r="P60" s="193">
        <f t="shared" si="13"/>
        <v>20.935116979194728</v>
      </c>
      <c r="Q60" s="117">
        <f>SUM(Q61:Q66)</f>
        <v>547.63900000000001</v>
      </c>
      <c r="R60" s="118">
        <f t="shared" si="35"/>
        <v>-86.036000000000058</v>
      </c>
      <c r="S60" s="119">
        <f t="shared" ref="S60:S63" si="43">F60/Q60*100</f>
        <v>84.289650664032322</v>
      </c>
      <c r="T60" s="117"/>
      <c r="U60" s="117"/>
    </row>
    <row r="61" spans="1:26" s="39" customFormat="1" ht="39" x14ac:dyDescent="0.25">
      <c r="A61" s="38" t="s">
        <v>193</v>
      </c>
      <c r="B61" s="180" t="s">
        <v>154</v>
      </c>
      <c r="C61" s="103"/>
      <c r="D61" s="125">
        <v>105</v>
      </c>
      <c r="E61" s="125">
        <v>105</v>
      </c>
      <c r="F61" s="121">
        <f t="shared" si="5"/>
        <v>3.7240000000000002</v>
      </c>
      <c r="G61" s="120">
        <v>0</v>
      </c>
      <c r="H61" s="216">
        <v>3.7240000000000002</v>
      </c>
      <c r="I61" s="120"/>
      <c r="J61" s="120">
        <v>25.256</v>
      </c>
      <c r="K61" s="120">
        <f t="shared" si="8"/>
        <v>-21.532</v>
      </c>
      <c r="L61" s="194">
        <f t="shared" si="9"/>
        <v>14.745011086474502</v>
      </c>
      <c r="M61" s="120">
        <f t="shared" si="42"/>
        <v>25.256</v>
      </c>
      <c r="N61" s="120">
        <f t="shared" si="11"/>
        <v>-21.532</v>
      </c>
      <c r="O61" s="194">
        <f t="shared" si="12"/>
        <v>14.745011086474502</v>
      </c>
      <c r="P61" s="194">
        <f t="shared" si="13"/>
        <v>3.5466666666666669</v>
      </c>
      <c r="Q61" s="121">
        <v>6.05</v>
      </c>
      <c r="R61" s="122">
        <f t="shared" si="35"/>
        <v>-2.3259999999999996</v>
      </c>
      <c r="S61" s="123">
        <f t="shared" si="43"/>
        <v>61.553719008264466</v>
      </c>
    </row>
    <row r="62" spans="1:26" s="39" customFormat="1" ht="39" x14ac:dyDescent="0.25">
      <c r="A62" s="38" t="s">
        <v>194</v>
      </c>
      <c r="B62" s="180" t="s">
        <v>155</v>
      </c>
      <c r="C62" s="103"/>
      <c r="D62" s="125">
        <v>1246.7</v>
      </c>
      <c r="E62" s="125">
        <v>1246.7</v>
      </c>
      <c r="F62" s="121">
        <f t="shared" si="5"/>
        <v>124.298</v>
      </c>
      <c r="G62" s="120">
        <v>0</v>
      </c>
      <c r="H62" s="216">
        <v>58.584000000000003</v>
      </c>
      <c r="I62" s="120">
        <v>65.713999999999999</v>
      </c>
      <c r="J62" s="120">
        <v>124.298</v>
      </c>
      <c r="K62" s="120">
        <f t="shared" si="8"/>
        <v>0</v>
      </c>
      <c r="L62" s="194">
        <f t="shared" si="9"/>
        <v>100</v>
      </c>
      <c r="M62" s="120">
        <f t="shared" si="42"/>
        <v>124.298</v>
      </c>
      <c r="N62" s="120">
        <f t="shared" si="11"/>
        <v>0</v>
      </c>
      <c r="O62" s="194">
        <f t="shared" si="12"/>
        <v>100</v>
      </c>
      <c r="P62" s="194">
        <f t="shared" si="13"/>
        <v>9.9701612256356782</v>
      </c>
      <c r="Q62" s="121">
        <v>395.45299999999997</v>
      </c>
      <c r="R62" s="122">
        <f t="shared" si="35"/>
        <v>-271.15499999999997</v>
      </c>
      <c r="S62" s="123">
        <f t="shared" si="43"/>
        <v>31.431800997842984</v>
      </c>
    </row>
    <row r="63" spans="1:26" s="39" customFormat="1" ht="58.5" x14ac:dyDescent="0.25">
      <c r="A63" s="38" t="s">
        <v>195</v>
      </c>
      <c r="B63" s="180" t="s">
        <v>156</v>
      </c>
      <c r="C63" s="103"/>
      <c r="D63" s="125">
        <v>292.3</v>
      </c>
      <c r="E63" s="125">
        <v>292.3</v>
      </c>
      <c r="F63" s="121">
        <f t="shared" si="5"/>
        <v>146.136</v>
      </c>
      <c r="G63" s="120">
        <v>0</v>
      </c>
      <c r="H63" s="216">
        <v>0</v>
      </c>
      <c r="I63" s="120">
        <v>146.136</v>
      </c>
      <c r="J63" s="120">
        <v>146.136</v>
      </c>
      <c r="K63" s="120">
        <f t="shared" si="8"/>
        <v>0</v>
      </c>
      <c r="L63" s="194">
        <f t="shared" si="9"/>
        <v>100</v>
      </c>
      <c r="M63" s="120">
        <f t="shared" si="42"/>
        <v>146.136</v>
      </c>
      <c r="N63" s="120">
        <f t="shared" si="11"/>
        <v>0</v>
      </c>
      <c r="O63" s="194">
        <f t="shared" si="12"/>
        <v>100</v>
      </c>
      <c r="P63" s="194">
        <f t="shared" si="13"/>
        <v>49.995210400273685</v>
      </c>
      <c r="Q63" s="121">
        <v>146.136</v>
      </c>
      <c r="R63" s="122">
        <f t="shared" si="35"/>
        <v>0</v>
      </c>
      <c r="S63" s="123">
        <f t="shared" si="43"/>
        <v>100</v>
      </c>
    </row>
    <row r="64" spans="1:26" s="39" customFormat="1" ht="58.5" x14ac:dyDescent="0.25">
      <c r="A64" s="218" t="s">
        <v>196</v>
      </c>
      <c r="B64" s="180" t="s">
        <v>169</v>
      </c>
      <c r="C64" s="103"/>
      <c r="D64" s="125">
        <v>338.31700000000001</v>
      </c>
      <c r="E64" s="125">
        <v>338.31700000000001</v>
      </c>
      <c r="F64" s="121">
        <f>SUM(G64:I64)</f>
        <v>135.32599999999999</v>
      </c>
      <c r="G64" s="120">
        <v>0</v>
      </c>
      <c r="H64" s="216">
        <v>67.662999999999997</v>
      </c>
      <c r="I64" s="120">
        <v>67.662999999999997</v>
      </c>
      <c r="J64" s="120">
        <v>135.32599999999999</v>
      </c>
      <c r="K64" s="120">
        <f>F64-J64</f>
        <v>0</v>
      </c>
      <c r="L64" s="194">
        <f>F64/J64*100</f>
        <v>100</v>
      </c>
      <c r="M64" s="120">
        <f>J64</f>
        <v>135.32599999999999</v>
      </c>
      <c r="N64" s="120">
        <f>F64-M64</f>
        <v>0</v>
      </c>
      <c r="O64" s="194">
        <f>F64/M64*100</f>
        <v>100</v>
      </c>
      <c r="P64" s="194">
        <f>F64/E64*100</f>
        <v>39.999763535382492</v>
      </c>
      <c r="Q64" s="121">
        <v>0</v>
      </c>
      <c r="R64" s="122">
        <f>F64-Q64</f>
        <v>135.32599999999999</v>
      </c>
      <c r="S64" s="123"/>
    </row>
    <row r="65" spans="1:24" s="39" customFormat="1" ht="58.5" x14ac:dyDescent="0.25">
      <c r="A65" s="218" t="s">
        <v>197</v>
      </c>
      <c r="B65" s="227" t="s">
        <v>224</v>
      </c>
      <c r="C65" s="103"/>
      <c r="D65" s="125"/>
      <c r="E65" s="125">
        <v>52.119</v>
      </c>
      <c r="F65" s="223">
        <f t="shared" ref="F65:F66" si="44">SUM(G65:I65)</f>
        <v>52.119</v>
      </c>
      <c r="G65" s="216"/>
      <c r="H65" s="216"/>
      <c r="I65" s="216">
        <v>52.119</v>
      </c>
      <c r="J65" s="216">
        <v>52.119</v>
      </c>
      <c r="K65" s="222">
        <f t="shared" ref="K65:K66" si="45">F65-J65</f>
        <v>0</v>
      </c>
      <c r="L65" s="194">
        <f t="shared" ref="L65:L66" si="46">F65/J65*100</f>
        <v>100</v>
      </c>
      <c r="M65" s="216">
        <f>J65</f>
        <v>52.119</v>
      </c>
      <c r="N65" s="222">
        <f t="shared" ref="N65:N66" si="47">F65-M65</f>
        <v>0</v>
      </c>
      <c r="O65" s="194">
        <f t="shared" ref="O65:O66" si="48">F65/M65*100</f>
        <v>100</v>
      </c>
      <c r="P65" s="194">
        <f t="shared" ref="P65:P66" si="49">F65/E65*100</f>
        <v>100</v>
      </c>
      <c r="Q65" s="223">
        <v>0</v>
      </c>
      <c r="R65" s="224">
        <f t="shared" ref="R65:R66" si="50">F65-Q65</f>
        <v>52.119</v>
      </c>
      <c r="S65" s="123"/>
    </row>
    <row r="66" spans="1:24" s="219" customFormat="1" ht="97.5" x14ac:dyDescent="0.25">
      <c r="A66" s="218" t="s">
        <v>226</v>
      </c>
      <c r="B66" s="227" t="s">
        <v>225</v>
      </c>
      <c r="C66" s="220"/>
      <c r="D66" s="226"/>
      <c r="E66" s="226">
        <v>170.48599999999999</v>
      </c>
      <c r="F66" s="223">
        <f t="shared" si="44"/>
        <v>0</v>
      </c>
      <c r="G66" s="222"/>
      <c r="H66" s="222"/>
      <c r="I66" s="222"/>
      <c r="J66" s="222">
        <v>170.48599999999999</v>
      </c>
      <c r="K66" s="222">
        <f t="shared" si="45"/>
        <v>-170.48599999999999</v>
      </c>
      <c r="L66" s="194">
        <f t="shared" si="46"/>
        <v>0</v>
      </c>
      <c r="M66" s="222">
        <f t="shared" ref="M66" si="51">J66</f>
        <v>170.48599999999999</v>
      </c>
      <c r="N66" s="222">
        <f t="shared" si="47"/>
        <v>-170.48599999999999</v>
      </c>
      <c r="O66" s="194">
        <f t="shared" si="48"/>
        <v>0</v>
      </c>
      <c r="P66" s="194">
        <f t="shared" si="49"/>
        <v>0</v>
      </c>
      <c r="Q66" s="223">
        <v>0</v>
      </c>
      <c r="R66" s="224">
        <f t="shared" si="50"/>
        <v>0</v>
      </c>
      <c r="S66" s="225"/>
    </row>
    <row r="67" spans="1:24" s="46" customFormat="1" ht="37.5" customHeight="1" x14ac:dyDescent="0.3">
      <c r="A67" s="43"/>
      <c r="B67" s="47" t="s">
        <v>29</v>
      </c>
      <c r="C67" s="44"/>
      <c r="D67" s="45">
        <f>D71+D70+D69</f>
        <v>904503.46699999995</v>
      </c>
      <c r="E67" s="45">
        <f>E71+E70+E69</f>
        <v>905287.99599999993</v>
      </c>
      <c r="F67" s="45">
        <f t="shared" si="5"/>
        <v>202400.42200000002</v>
      </c>
      <c r="G67" s="45">
        <f t="shared" ref="G67:I67" si="52">G71+G70+G69</f>
        <v>65509.462</v>
      </c>
      <c r="H67" s="45">
        <f t="shared" ref="H67" si="53">H71+H70+H69</f>
        <v>66194.953000000009</v>
      </c>
      <c r="I67" s="45">
        <f t="shared" si="52"/>
        <v>70696.006999999998</v>
      </c>
      <c r="J67" s="45">
        <f>J71+J70+J69</f>
        <v>202592.44</v>
      </c>
      <c r="K67" s="45">
        <f t="shared" si="8"/>
        <v>-192.01799999998184</v>
      </c>
      <c r="L67" s="196">
        <f t="shared" si="9"/>
        <v>99.905219562980747</v>
      </c>
      <c r="M67" s="45">
        <f>M71+M70+M69</f>
        <v>202592.44</v>
      </c>
      <c r="N67" s="45">
        <f t="shared" si="11"/>
        <v>-192.01799999998184</v>
      </c>
      <c r="O67" s="196">
        <f t="shared" si="12"/>
        <v>99.905219562980747</v>
      </c>
      <c r="P67" s="196">
        <f t="shared" si="13"/>
        <v>22.357572716561243</v>
      </c>
      <c r="Q67" s="45">
        <f>Q71+Q70+Q69</f>
        <v>184473.451</v>
      </c>
      <c r="R67" s="87">
        <f t="shared" si="35"/>
        <v>17926.97100000002</v>
      </c>
      <c r="S67" s="88">
        <f>F67/Q67*100</f>
        <v>109.71791382598465</v>
      </c>
    </row>
    <row r="68" spans="1:24" s="12" customFormat="1" ht="23.25" x14ac:dyDescent="0.25">
      <c r="A68" s="11"/>
      <c r="B68" s="176" t="s">
        <v>96</v>
      </c>
      <c r="C68" s="10"/>
      <c r="D68" s="126"/>
      <c r="E68" s="126"/>
      <c r="F68" s="127"/>
      <c r="G68" s="126"/>
      <c r="H68" s="126"/>
      <c r="I68" s="126"/>
      <c r="J68" s="126"/>
      <c r="K68" s="126"/>
      <c r="L68" s="197"/>
      <c r="M68" s="126"/>
      <c r="N68" s="126"/>
      <c r="O68" s="197"/>
      <c r="P68" s="197"/>
      <c r="Q68" s="127"/>
      <c r="R68" s="92"/>
      <c r="S68" s="93"/>
    </row>
    <row r="69" spans="1:24" s="12" customFormat="1" ht="22.5" x14ac:dyDescent="0.25">
      <c r="A69" s="11"/>
      <c r="B69" s="165" t="s">
        <v>149</v>
      </c>
      <c r="C69" s="25"/>
      <c r="D69" s="54"/>
      <c r="E69" s="54"/>
      <c r="F69" s="45">
        <f t="shared" si="5"/>
        <v>0</v>
      </c>
      <c r="G69" s="54"/>
      <c r="H69" s="54"/>
      <c r="I69" s="54"/>
      <c r="J69" s="54"/>
      <c r="K69" s="54"/>
      <c r="L69" s="191"/>
      <c r="M69" s="54"/>
      <c r="N69" s="54">
        <f t="shared" si="11"/>
        <v>0</v>
      </c>
      <c r="O69" s="191"/>
      <c r="P69" s="191"/>
      <c r="Q69" s="45">
        <f>Q54</f>
        <v>2748.9</v>
      </c>
      <c r="R69" s="92">
        <f>F69-Q69</f>
        <v>-2748.9</v>
      </c>
      <c r="S69" s="93"/>
    </row>
    <row r="70" spans="1:24" s="12" customFormat="1" ht="27.75" customHeight="1" x14ac:dyDescent="0.25">
      <c r="A70" s="11"/>
      <c r="B70" s="165" t="s">
        <v>110</v>
      </c>
      <c r="C70" s="25"/>
      <c r="D70" s="54">
        <f>D56</f>
        <v>0</v>
      </c>
      <c r="E70" s="54">
        <f>E56</f>
        <v>561.92399999999998</v>
      </c>
      <c r="F70" s="45">
        <f t="shared" si="5"/>
        <v>561.92399999999998</v>
      </c>
      <c r="G70" s="54">
        <f>G56</f>
        <v>0</v>
      </c>
      <c r="H70" s="54">
        <f>H56</f>
        <v>561.92399999999998</v>
      </c>
      <c r="I70" s="54">
        <f>I56</f>
        <v>0</v>
      </c>
      <c r="J70" s="54">
        <f>J56</f>
        <v>561.92399999999998</v>
      </c>
      <c r="K70" s="54">
        <f t="shared" ref="K70" si="54">F70-J70</f>
        <v>0</v>
      </c>
      <c r="L70" s="191">
        <f t="shared" ref="L70" si="55">F70/J70*100</f>
        <v>100</v>
      </c>
      <c r="M70" s="54">
        <f>M56</f>
        <v>561.92399999999998</v>
      </c>
      <c r="N70" s="54">
        <f t="shared" si="11"/>
        <v>0</v>
      </c>
      <c r="O70" s="191">
        <f t="shared" ref="O70" si="56">F70/M70*100</f>
        <v>100</v>
      </c>
      <c r="P70" s="191">
        <f t="shared" ref="P70" si="57">F70/E70*100</f>
        <v>100</v>
      </c>
      <c r="Q70" s="45"/>
      <c r="R70" s="92">
        <f>F70-Q70</f>
        <v>561.92399999999998</v>
      </c>
      <c r="S70" s="93"/>
    </row>
    <row r="71" spans="1:24" s="12" customFormat="1" ht="33.75" customHeight="1" x14ac:dyDescent="0.25">
      <c r="A71" s="11"/>
      <c r="B71" s="165" t="s">
        <v>72</v>
      </c>
      <c r="C71" s="25"/>
      <c r="D71" s="54">
        <f>D72+D73</f>
        <v>904503.46699999995</v>
      </c>
      <c r="E71" s="54">
        <f>E72+E73</f>
        <v>904726.07199999993</v>
      </c>
      <c r="F71" s="45">
        <f t="shared" si="5"/>
        <v>201838.49800000002</v>
      </c>
      <c r="G71" s="54">
        <f>G72+G73</f>
        <v>65509.462</v>
      </c>
      <c r="H71" s="54">
        <f t="shared" ref="H71" si="58">H72+H73</f>
        <v>65633.02900000001</v>
      </c>
      <c r="I71" s="54">
        <f t="shared" ref="I71:J71" si="59">I72+I73</f>
        <v>70696.006999999998</v>
      </c>
      <c r="J71" s="54">
        <f t="shared" si="59"/>
        <v>202030.516</v>
      </c>
      <c r="K71" s="54">
        <f t="shared" si="8"/>
        <v>-192.01799999998184</v>
      </c>
      <c r="L71" s="191">
        <f t="shared" si="9"/>
        <v>99.904955942398331</v>
      </c>
      <c r="M71" s="54">
        <f t="shared" ref="M71" si="60">M72+M73</f>
        <v>202030.516</v>
      </c>
      <c r="N71" s="54">
        <f t="shared" si="11"/>
        <v>-192.01799999998184</v>
      </c>
      <c r="O71" s="191">
        <f t="shared" si="12"/>
        <v>99.904955942398331</v>
      </c>
      <c r="P71" s="191">
        <f t="shared" si="13"/>
        <v>22.309349121973799</v>
      </c>
      <c r="Q71" s="45">
        <f>Q72+Q73</f>
        <v>181724.55100000001</v>
      </c>
      <c r="R71" s="92">
        <f>F71-Q71</f>
        <v>20113.947000000015</v>
      </c>
      <c r="S71" s="93">
        <f>F71/Q71*100</f>
        <v>111.06837072333721</v>
      </c>
    </row>
    <row r="72" spans="1:24" s="7" customFormat="1" ht="33.75" customHeight="1" x14ac:dyDescent="0.25">
      <c r="A72" s="13"/>
      <c r="B72" s="16" t="s">
        <v>100</v>
      </c>
      <c r="C72" s="16"/>
      <c r="D72" s="125">
        <f>D55</f>
        <v>879086.1</v>
      </c>
      <c r="E72" s="125">
        <f>E55</f>
        <v>879086.1</v>
      </c>
      <c r="F72" s="128">
        <f t="shared" si="5"/>
        <v>196148</v>
      </c>
      <c r="G72" s="125">
        <f>G55</f>
        <v>63808.4</v>
      </c>
      <c r="H72" s="125">
        <f>H55</f>
        <v>63802.3</v>
      </c>
      <c r="I72" s="125">
        <f>I55</f>
        <v>68537.3</v>
      </c>
      <c r="J72" s="125">
        <f>J55</f>
        <v>196148</v>
      </c>
      <c r="K72" s="125">
        <f t="shared" si="8"/>
        <v>0</v>
      </c>
      <c r="L72" s="198">
        <f t="shared" si="9"/>
        <v>100</v>
      </c>
      <c r="M72" s="125">
        <f>M55</f>
        <v>196148</v>
      </c>
      <c r="N72" s="125">
        <f t="shared" si="11"/>
        <v>0</v>
      </c>
      <c r="O72" s="198">
        <f t="shared" si="12"/>
        <v>100</v>
      </c>
      <c r="P72" s="198">
        <f t="shared" si="13"/>
        <v>22.31271771900386</v>
      </c>
      <c r="Q72" s="128">
        <f>Q55</f>
        <v>174347.7</v>
      </c>
      <c r="R72" s="122">
        <f>F72-Q72</f>
        <v>21800.299999999988</v>
      </c>
      <c r="S72" s="123">
        <f>F72/Q72*100</f>
        <v>112.50392176094091</v>
      </c>
    </row>
    <row r="73" spans="1:24" s="7" customFormat="1" ht="33.75" customHeight="1" x14ac:dyDescent="0.25">
      <c r="A73" s="13"/>
      <c r="B73" s="177" t="s">
        <v>99</v>
      </c>
      <c r="C73" s="16"/>
      <c r="D73" s="125">
        <f>D57+D60</f>
        <v>25417.366999999998</v>
      </c>
      <c r="E73" s="125">
        <f>E57+E60</f>
        <v>25639.971999999998</v>
      </c>
      <c r="F73" s="128">
        <f t="shared" si="5"/>
        <v>5690.4979999999996</v>
      </c>
      <c r="G73" s="125">
        <f>G57+G60</f>
        <v>1701.0619999999999</v>
      </c>
      <c r="H73" s="125">
        <f>H57+H60</f>
        <v>1830.729</v>
      </c>
      <c r="I73" s="125">
        <f>I57+I60</f>
        <v>2158.7069999999999</v>
      </c>
      <c r="J73" s="125">
        <f>J57+J60</f>
        <v>5882.5160000000005</v>
      </c>
      <c r="K73" s="125">
        <f t="shared" si="8"/>
        <v>-192.01800000000094</v>
      </c>
      <c r="L73" s="198">
        <f t="shared" si="9"/>
        <v>96.735784484054093</v>
      </c>
      <c r="M73" s="125">
        <f>M57+M60</f>
        <v>5882.5160000000005</v>
      </c>
      <c r="N73" s="125">
        <f t="shared" si="11"/>
        <v>-192.01800000000094</v>
      </c>
      <c r="O73" s="198">
        <f t="shared" si="12"/>
        <v>96.735784484054093</v>
      </c>
      <c r="P73" s="198">
        <f t="shared" si="13"/>
        <v>22.193854189856367</v>
      </c>
      <c r="Q73" s="128">
        <f>Q57+Q60+Q58+Q59</f>
        <v>7376.8510000000006</v>
      </c>
      <c r="R73" s="122">
        <f>F73-Q73</f>
        <v>-1686.353000000001</v>
      </c>
      <c r="S73" s="123">
        <f>F73/Q73*100</f>
        <v>77.139934099251832</v>
      </c>
    </row>
    <row r="74" spans="1:24" s="7" customFormat="1" ht="23.25" x14ac:dyDescent="0.25">
      <c r="A74" s="13"/>
      <c r="B74" s="41"/>
      <c r="C74" s="16"/>
      <c r="D74" s="125"/>
      <c r="E74" s="125"/>
      <c r="F74" s="128"/>
      <c r="G74" s="125"/>
      <c r="H74" s="125"/>
      <c r="I74" s="125"/>
      <c r="J74" s="125"/>
      <c r="K74" s="125"/>
      <c r="L74" s="198"/>
      <c r="M74" s="125"/>
      <c r="N74" s="125"/>
      <c r="O74" s="198"/>
      <c r="P74" s="198"/>
      <c r="Q74" s="128"/>
      <c r="R74" s="122"/>
      <c r="S74" s="123"/>
    </row>
    <row r="75" spans="1:24" s="153" customFormat="1" ht="28.5" customHeight="1" x14ac:dyDescent="0.3">
      <c r="A75" s="146"/>
      <c r="B75" s="147" t="s">
        <v>28</v>
      </c>
      <c r="C75" s="148"/>
      <c r="D75" s="149">
        <f>D67+D52</f>
        <v>6124253.8440000005</v>
      </c>
      <c r="E75" s="149">
        <f>E67+E52</f>
        <v>6125038.3730000006</v>
      </c>
      <c r="F75" s="149">
        <f t="shared" si="5"/>
        <v>1452341.4500000002</v>
      </c>
      <c r="G75" s="149">
        <f>G67+G52</f>
        <v>492255.30200000014</v>
      </c>
      <c r="H75" s="149">
        <f>H67+H52</f>
        <v>511684.46699999995</v>
      </c>
      <c r="I75" s="149">
        <f>I67+I52</f>
        <v>448401.6810000001</v>
      </c>
      <c r="J75" s="149">
        <f>J67+J52</f>
        <v>1343753.4290000002</v>
      </c>
      <c r="K75" s="149">
        <f t="shared" si="8"/>
        <v>108588.02099999995</v>
      </c>
      <c r="L75" s="199">
        <f t="shared" si="9"/>
        <v>108.08094838357431</v>
      </c>
      <c r="M75" s="149">
        <f>M67+M52</f>
        <v>1507530.03425</v>
      </c>
      <c r="N75" s="149">
        <f t="shared" si="11"/>
        <v>-55188.58424999984</v>
      </c>
      <c r="O75" s="199">
        <f t="shared" si="12"/>
        <v>96.339138657528878</v>
      </c>
      <c r="P75" s="199">
        <f t="shared" si="13"/>
        <v>23.711548590489134</v>
      </c>
      <c r="Q75" s="149">
        <f>Q67+Q52</f>
        <v>1427449.4110000008</v>
      </c>
      <c r="R75" s="150">
        <f>F75-Q75</f>
        <v>24892.038999999408</v>
      </c>
      <c r="S75" s="151">
        <f>F75/Q75*100</f>
        <v>101.74381234166199</v>
      </c>
      <c r="T75" s="149">
        <v>1427449.4109999998</v>
      </c>
      <c r="U75" s="152">
        <f>T75-Q75</f>
        <v>0</v>
      </c>
      <c r="X75" s="152"/>
    </row>
    <row r="76" spans="1:24" s="153" customFormat="1" ht="68.25" customHeight="1" x14ac:dyDescent="0.3">
      <c r="A76" s="146"/>
      <c r="B76" s="147" t="s">
        <v>191</v>
      </c>
      <c r="C76" s="148"/>
      <c r="D76" s="149">
        <f>D75</f>
        <v>6124253.8440000005</v>
      </c>
      <c r="E76" s="149">
        <f>E75</f>
        <v>6125038.3730000006</v>
      </c>
      <c r="F76" s="149">
        <f t="shared" si="5"/>
        <v>1452341.4500000002</v>
      </c>
      <c r="G76" s="149">
        <f>G75</f>
        <v>492255.30200000014</v>
      </c>
      <c r="H76" s="149">
        <f>H75</f>
        <v>511684.46699999995</v>
      </c>
      <c r="I76" s="149">
        <f>I75</f>
        <v>448401.6810000001</v>
      </c>
      <c r="J76" s="149">
        <f>J75</f>
        <v>1343753.4290000002</v>
      </c>
      <c r="K76" s="149">
        <f t="shared" si="8"/>
        <v>108588.02099999995</v>
      </c>
      <c r="L76" s="199">
        <f t="shared" si="9"/>
        <v>108.08094838357431</v>
      </c>
      <c r="M76" s="149">
        <f>M75</f>
        <v>1507530.03425</v>
      </c>
      <c r="N76" s="149">
        <f t="shared" si="11"/>
        <v>-55188.58424999984</v>
      </c>
      <c r="O76" s="199">
        <f t="shared" si="12"/>
        <v>96.339138657528878</v>
      </c>
      <c r="P76" s="199">
        <f t="shared" si="13"/>
        <v>23.711548590489134</v>
      </c>
      <c r="Q76" s="149">
        <f>Q67+Q53</f>
        <v>1207394.8890000009</v>
      </c>
      <c r="R76" s="150">
        <f>F76-Q76</f>
        <v>244946.56099999929</v>
      </c>
      <c r="S76" s="151">
        <f>F76/Q76*100</f>
        <v>120.28719545126376</v>
      </c>
      <c r="T76" s="149"/>
      <c r="U76" s="152"/>
      <c r="X76" s="152"/>
    </row>
    <row r="77" spans="1:24" s="9" customFormat="1" ht="20.25" customHeight="1" x14ac:dyDescent="0.25">
      <c r="A77" s="250" t="s">
        <v>9</v>
      </c>
      <c r="B77" s="251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1"/>
      <c r="N77" s="251"/>
      <c r="O77" s="251"/>
      <c r="P77" s="251"/>
      <c r="Q77" s="251"/>
      <c r="R77" s="251"/>
      <c r="S77" s="252"/>
    </row>
    <row r="78" spans="1:24" s="60" customFormat="1" ht="39.75" customHeight="1" x14ac:dyDescent="0.3">
      <c r="A78" s="23">
        <v>1</v>
      </c>
      <c r="B78" s="59" t="s">
        <v>12</v>
      </c>
      <c r="C78" s="24" t="s">
        <v>21</v>
      </c>
      <c r="D78" s="124">
        <f>D79+D80</f>
        <v>88942.407999999996</v>
      </c>
      <c r="E78" s="124">
        <f>E79+E80</f>
        <v>88942.407999999996</v>
      </c>
      <c r="F78" s="117">
        <f t="shared" ref="F78:F114" si="61">SUM(G78:I78)</f>
        <v>46405.832999999999</v>
      </c>
      <c r="G78" s="116">
        <f t="shared" ref="G78:I78" si="62">G79+G80</f>
        <v>9018.42</v>
      </c>
      <c r="H78" s="116">
        <f t="shared" ref="H78" si="63">H79+H80</f>
        <v>22969.591</v>
      </c>
      <c r="I78" s="116">
        <f t="shared" si="62"/>
        <v>14417.822</v>
      </c>
      <c r="J78" s="116">
        <f>J79+J80</f>
        <v>22235.601999999999</v>
      </c>
      <c r="K78" s="116">
        <f t="shared" ref="K78:K99" si="64">F78-J78</f>
        <v>24170.231</v>
      </c>
      <c r="L78" s="193">
        <f t="shared" ref="L78:L99" si="65">F78/J78*100</f>
        <v>208.70059196058642</v>
      </c>
      <c r="M78" s="116">
        <f>M79</f>
        <v>22235.601999999999</v>
      </c>
      <c r="N78" s="116">
        <f t="shared" ref="N78:N99" si="66">F78-M78</f>
        <v>24170.231</v>
      </c>
      <c r="O78" s="193">
        <f t="shared" ref="O78:O99" si="67">F78/M78*100</f>
        <v>208.70059196058642</v>
      </c>
      <c r="P78" s="193">
        <f t="shared" ref="P78:P99" si="68">F78/E78*100</f>
        <v>52.175147990146606</v>
      </c>
      <c r="Q78" s="117">
        <f t="shared" ref="Q78" si="69">Q79+Q80</f>
        <v>46446.86</v>
      </c>
      <c r="R78" s="118">
        <f t="shared" ref="R78:R97" si="70">F78-Q78</f>
        <v>-41.027000000001863</v>
      </c>
      <c r="S78" s="119">
        <f t="shared" ref="S78:S85" si="71">F78/Q78*100</f>
        <v>99.911668948126959</v>
      </c>
    </row>
    <row r="79" spans="1:24" s="63" customFormat="1" ht="39" x14ac:dyDescent="0.3">
      <c r="A79" s="38" t="s">
        <v>115</v>
      </c>
      <c r="B79" s="102" t="s">
        <v>111</v>
      </c>
      <c r="C79" s="16" t="s">
        <v>112</v>
      </c>
      <c r="D79" s="125">
        <v>88942.407999999996</v>
      </c>
      <c r="E79" s="125">
        <v>88942.407999999996</v>
      </c>
      <c r="F79" s="121">
        <f t="shared" si="61"/>
        <v>23187.512000000002</v>
      </c>
      <c r="G79" s="120">
        <v>6842.0010000000002</v>
      </c>
      <c r="H79" s="216">
        <v>8199.6650000000009</v>
      </c>
      <c r="I79" s="120">
        <v>8145.8459999999995</v>
      </c>
      <c r="J79" s="120">
        <v>22235.601999999999</v>
      </c>
      <c r="K79" s="120">
        <f t="shared" si="64"/>
        <v>951.91000000000349</v>
      </c>
      <c r="L79" s="194">
        <f t="shared" si="65"/>
        <v>104.28101744220824</v>
      </c>
      <c r="M79" s="120">
        <f>E79/12*3</f>
        <v>22235.601999999999</v>
      </c>
      <c r="N79" s="120">
        <f t="shared" si="66"/>
        <v>951.91000000000349</v>
      </c>
      <c r="O79" s="194">
        <f t="shared" si="67"/>
        <v>104.28101744220824</v>
      </c>
      <c r="P79" s="194">
        <f t="shared" si="68"/>
        <v>26.07025436055206</v>
      </c>
      <c r="Q79" s="121">
        <v>21310.112999999998</v>
      </c>
      <c r="R79" s="122">
        <f t="shared" si="70"/>
        <v>1877.3990000000049</v>
      </c>
      <c r="S79" s="123">
        <f t="shared" si="71"/>
        <v>108.80989697239055</v>
      </c>
    </row>
    <row r="80" spans="1:24" s="63" customFormat="1" ht="23.25" x14ac:dyDescent="0.3">
      <c r="A80" s="38" t="s">
        <v>116</v>
      </c>
      <c r="B80" s="102" t="s">
        <v>113</v>
      </c>
      <c r="C80" s="16" t="s">
        <v>114</v>
      </c>
      <c r="D80" s="125">
        <v>0</v>
      </c>
      <c r="E80" s="125">
        <v>0</v>
      </c>
      <c r="F80" s="121">
        <f t="shared" si="61"/>
        <v>23218.321</v>
      </c>
      <c r="G80" s="120">
        <v>2176.4189999999999</v>
      </c>
      <c r="H80" s="216">
        <v>14769.925999999999</v>
      </c>
      <c r="I80" s="120">
        <v>6271.9759999999997</v>
      </c>
      <c r="J80" s="120">
        <v>0</v>
      </c>
      <c r="K80" s="120">
        <f t="shared" si="64"/>
        <v>23218.321</v>
      </c>
      <c r="L80" s="194"/>
      <c r="M80" s="120"/>
      <c r="N80" s="120">
        <f t="shared" si="66"/>
        <v>23218.321</v>
      </c>
      <c r="O80" s="194"/>
      <c r="P80" s="194"/>
      <c r="Q80" s="121">
        <v>25136.747000000003</v>
      </c>
      <c r="R80" s="122">
        <f t="shared" si="70"/>
        <v>-1918.4260000000031</v>
      </c>
      <c r="S80" s="123">
        <f t="shared" si="71"/>
        <v>92.368041894999365</v>
      </c>
    </row>
    <row r="81" spans="1:20" s="60" customFormat="1" ht="39" x14ac:dyDescent="0.3">
      <c r="A81" s="215">
        <v>2</v>
      </c>
      <c r="B81" s="115" t="s">
        <v>209</v>
      </c>
      <c r="C81" s="24" t="s">
        <v>210</v>
      </c>
      <c r="D81" s="124"/>
      <c r="E81" s="124"/>
      <c r="F81" s="117">
        <f t="shared" si="61"/>
        <v>0.62</v>
      </c>
      <c r="G81" s="116">
        <v>0</v>
      </c>
      <c r="H81" s="116">
        <v>1.2999999999999999E-2</v>
      </c>
      <c r="I81" s="116">
        <v>0.60699999999999998</v>
      </c>
      <c r="J81" s="116"/>
      <c r="K81" s="116">
        <f t="shared" si="64"/>
        <v>0.62</v>
      </c>
      <c r="L81" s="193"/>
      <c r="M81" s="116"/>
      <c r="N81" s="116">
        <f t="shared" si="66"/>
        <v>0.62</v>
      </c>
      <c r="O81" s="193"/>
      <c r="P81" s="193"/>
      <c r="Q81" s="117"/>
      <c r="R81" s="118">
        <f t="shared" si="70"/>
        <v>0.62</v>
      </c>
      <c r="S81" s="119"/>
    </row>
    <row r="82" spans="1:20" s="60" customFormat="1" ht="37.5" customHeight="1" x14ac:dyDescent="0.3">
      <c r="A82" s="23">
        <f>A81+1</f>
        <v>3</v>
      </c>
      <c r="B82" s="115" t="s">
        <v>32</v>
      </c>
      <c r="C82" s="24" t="s">
        <v>31</v>
      </c>
      <c r="D82" s="124">
        <v>3460</v>
      </c>
      <c r="E82" s="124">
        <v>3460</v>
      </c>
      <c r="F82" s="117">
        <f t="shared" si="61"/>
        <v>942.32400000000007</v>
      </c>
      <c r="G82" s="116">
        <v>20.629000000000001</v>
      </c>
      <c r="H82" s="116">
        <v>894.51800000000003</v>
      </c>
      <c r="I82" s="116">
        <v>27.177</v>
      </c>
      <c r="J82" s="116">
        <v>916.61500000000001</v>
      </c>
      <c r="K82" s="116">
        <f t="shared" si="64"/>
        <v>25.70900000000006</v>
      </c>
      <c r="L82" s="193">
        <f t="shared" si="65"/>
        <v>102.80477626920789</v>
      </c>
      <c r="M82" s="116">
        <f t="shared" ref="M82:M83" si="72">E82/12*3</f>
        <v>865</v>
      </c>
      <c r="N82" s="116">
        <f t="shared" si="66"/>
        <v>77.324000000000069</v>
      </c>
      <c r="O82" s="193">
        <f t="shared" si="67"/>
        <v>108.9391907514451</v>
      </c>
      <c r="P82" s="193">
        <f t="shared" si="68"/>
        <v>27.234797687861274</v>
      </c>
      <c r="Q82" s="117">
        <v>513.32100000000003</v>
      </c>
      <c r="R82" s="118">
        <f t="shared" si="70"/>
        <v>429.00300000000004</v>
      </c>
      <c r="S82" s="119">
        <f t="shared" si="71"/>
        <v>183.57402093426919</v>
      </c>
    </row>
    <row r="83" spans="1:20" s="60" customFormat="1" ht="58.5" x14ac:dyDescent="0.3">
      <c r="A83" s="23">
        <f>A82+1</f>
        <v>4</v>
      </c>
      <c r="B83" s="59" t="s">
        <v>26</v>
      </c>
      <c r="C83" s="24" t="s">
        <v>25</v>
      </c>
      <c r="D83" s="124">
        <v>50</v>
      </c>
      <c r="E83" s="124">
        <v>50</v>
      </c>
      <c r="F83" s="117">
        <f t="shared" si="61"/>
        <v>288.89699999999999</v>
      </c>
      <c r="G83" s="116">
        <v>0</v>
      </c>
      <c r="H83" s="116">
        <v>286.39699999999999</v>
      </c>
      <c r="I83" s="116">
        <v>2.5</v>
      </c>
      <c r="J83" s="116">
        <v>50</v>
      </c>
      <c r="K83" s="116">
        <f t="shared" si="64"/>
        <v>238.89699999999999</v>
      </c>
      <c r="L83" s="193">
        <f t="shared" si="65"/>
        <v>577.79399999999998</v>
      </c>
      <c r="M83" s="116">
        <f t="shared" si="72"/>
        <v>12.5</v>
      </c>
      <c r="N83" s="116">
        <f t="shared" si="66"/>
        <v>276.39699999999999</v>
      </c>
      <c r="O83" s="193">
        <f t="shared" si="67"/>
        <v>2311.1759999999999</v>
      </c>
      <c r="P83" s="193">
        <f t="shared" si="68"/>
        <v>577.79399999999998</v>
      </c>
      <c r="Q83" s="117">
        <v>19.689</v>
      </c>
      <c r="R83" s="118">
        <f t="shared" si="70"/>
        <v>269.20799999999997</v>
      </c>
      <c r="S83" s="119">
        <f t="shared" si="71"/>
        <v>1467.3015389303671</v>
      </c>
    </row>
    <row r="84" spans="1:20" s="30" customFormat="1" ht="31.5" customHeight="1" x14ac:dyDescent="0.3">
      <c r="A84" s="11">
        <f t="shared" ref="A84" si="73">A83+1</f>
        <v>5</v>
      </c>
      <c r="B84" s="15" t="s">
        <v>10</v>
      </c>
      <c r="C84" s="8"/>
      <c r="D84" s="54">
        <f>SUM(D85:D87)</f>
        <v>110700</v>
      </c>
      <c r="E84" s="54">
        <f>SUM(E85:E87)</f>
        <v>110700</v>
      </c>
      <c r="F84" s="45">
        <f t="shared" si="61"/>
        <v>43227.076999999997</v>
      </c>
      <c r="G84" s="54">
        <f>SUM(G85:G87)</f>
        <v>30538.786</v>
      </c>
      <c r="H84" s="54">
        <f>SUM(H85:H87)</f>
        <v>5031.7699999999995</v>
      </c>
      <c r="I84" s="54">
        <f>SUM(I85:I87)</f>
        <v>7656.5209999999997</v>
      </c>
      <c r="J84" s="54">
        <f>SUM(J85:J87)</f>
        <v>39784.339</v>
      </c>
      <c r="K84" s="54">
        <f t="shared" si="64"/>
        <v>3442.7379999999976</v>
      </c>
      <c r="L84" s="191">
        <f t="shared" si="65"/>
        <v>108.65350056463173</v>
      </c>
      <c r="M84" s="54">
        <f>SUM(M85:M87)</f>
        <v>27675</v>
      </c>
      <c r="N84" s="54">
        <f t="shared" si="66"/>
        <v>15552.076999999997</v>
      </c>
      <c r="O84" s="191">
        <f t="shared" si="67"/>
        <v>156.19540018066846</v>
      </c>
      <c r="P84" s="191">
        <f t="shared" si="68"/>
        <v>39.048850045167114</v>
      </c>
      <c r="Q84" s="45">
        <f>SUM(Q85:Q87)</f>
        <v>12218.514999999999</v>
      </c>
      <c r="R84" s="92">
        <f t="shared" si="70"/>
        <v>31008.561999999998</v>
      </c>
      <c r="S84" s="93">
        <f t="shared" si="71"/>
        <v>353.78339348112269</v>
      </c>
      <c r="T84" s="61"/>
    </row>
    <row r="85" spans="1:20" s="63" customFormat="1" ht="39" x14ac:dyDescent="0.3">
      <c r="A85" s="13" t="s">
        <v>193</v>
      </c>
      <c r="B85" s="102" t="s">
        <v>131</v>
      </c>
      <c r="C85" s="16" t="s">
        <v>45</v>
      </c>
      <c r="D85" s="125">
        <v>0</v>
      </c>
      <c r="E85" s="125">
        <v>0</v>
      </c>
      <c r="F85" s="121">
        <f t="shared" si="61"/>
        <v>322.428</v>
      </c>
      <c r="G85" s="120">
        <v>48</v>
      </c>
      <c r="H85" s="216">
        <v>0</v>
      </c>
      <c r="I85" s="120">
        <v>274.428</v>
      </c>
      <c r="J85" s="120">
        <v>0</v>
      </c>
      <c r="K85" s="120">
        <f t="shared" si="64"/>
        <v>322.428</v>
      </c>
      <c r="L85" s="198"/>
      <c r="M85" s="120">
        <f t="shared" ref="M85:M88" si="74">E85/12*3</f>
        <v>0</v>
      </c>
      <c r="N85" s="120">
        <f t="shared" si="66"/>
        <v>322.428</v>
      </c>
      <c r="O85" s="194"/>
      <c r="P85" s="194"/>
      <c r="Q85" s="121">
        <v>1986.1869999999999</v>
      </c>
      <c r="R85" s="122">
        <f t="shared" si="70"/>
        <v>-1663.759</v>
      </c>
      <c r="S85" s="123">
        <f t="shared" si="71"/>
        <v>16.233516783666392</v>
      </c>
    </row>
    <row r="86" spans="1:20" s="63" customFormat="1" ht="23.25" x14ac:dyDescent="0.3">
      <c r="A86" s="13" t="s">
        <v>194</v>
      </c>
      <c r="B86" s="102" t="s">
        <v>37</v>
      </c>
      <c r="C86" s="16" t="s">
        <v>22</v>
      </c>
      <c r="D86" s="125">
        <v>14000</v>
      </c>
      <c r="E86" s="125">
        <v>14000</v>
      </c>
      <c r="F86" s="121">
        <f t="shared" si="61"/>
        <v>9.6319999999999997</v>
      </c>
      <c r="G86" s="120">
        <v>0</v>
      </c>
      <c r="H86" s="216">
        <v>9.6319999999999997</v>
      </c>
      <c r="I86" s="120">
        <v>0</v>
      </c>
      <c r="J86" s="120">
        <v>9.6</v>
      </c>
      <c r="K86" s="120">
        <f t="shared" si="64"/>
        <v>3.2000000000000028E-2</v>
      </c>
      <c r="L86" s="198">
        <f t="shared" si="65"/>
        <v>100.33333333333334</v>
      </c>
      <c r="M86" s="120">
        <f t="shared" si="74"/>
        <v>3500</v>
      </c>
      <c r="N86" s="120">
        <f t="shared" si="66"/>
        <v>-3490.3679999999999</v>
      </c>
      <c r="O86" s="194">
        <f t="shared" si="67"/>
        <v>0.2752</v>
      </c>
      <c r="P86" s="194">
        <f t="shared" si="68"/>
        <v>6.88E-2</v>
      </c>
      <c r="Q86" s="121">
        <v>0</v>
      </c>
      <c r="R86" s="122">
        <f t="shared" si="70"/>
        <v>9.6319999999999997</v>
      </c>
      <c r="S86" s="123"/>
    </row>
    <row r="87" spans="1:20" s="62" customFormat="1" ht="33" customHeight="1" x14ac:dyDescent="0.3">
      <c r="A87" s="13" t="s">
        <v>195</v>
      </c>
      <c r="B87" s="41" t="s">
        <v>67</v>
      </c>
      <c r="C87" s="16" t="s">
        <v>43</v>
      </c>
      <c r="D87" s="125">
        <v>96700</v>
      </c>
      <c r="E87" s="125">
        <v>96700</v>
      </c>
      <c r="F87" s="128">
        <f t="shared" si="61"/>
        <v>42895.017</v>
      </c>
      <c r="G87" s="125">
        <v>30490.786</v>
      </c>
      <c r="H87" s="125">
        <v>5022.1379999999999</v>
      </c>
      <c r="I87" s="125">
        <v>7382.0929999999998</v>
      </c>
      <c r="J87" s="125">
        <v>39774.739000000001</v>
      </c>
      <c r="K87" s="125">
        <f t="shared" si="64"/>
        <v>3120.2779999999984</v>
      </c>
      <c r="L87" s="198">
        <f t="shared" si="65"/>
        <v>107.84487360181043</v>
      </c>
      <c r="M87" s="125">
        <f t="shared" si="74"/>
        <v>24175</v>
      </c>
      <c r="N87" s="125">
        <f t="shared" si="66"/>
        <v>18720.017</v>
      </c>
      <c r="O87" s="198">
        <f t="shared" si="67"/>
        <v>177.43543743536711</v>
      </c>
      <c r="P87" s="198">
        <f t="shared" si="68"/>
        <v>44.358859358841777</v>
      </c>
      <c r="Q87" s="128">
        <v>10232.328</v>
      </c>
      <c r="R87" s="122">
        <f t="shared" si="70"/>
        <v>32662.688999999998</v>
      </c>
      <c r="S87" s="123">
        <f>F87/Q87*100</f>
        <v>419.2107309304393</v>
      </c>
    </row>
    <row r="88" spans="1:20" s="60" customFormat="1" ht="30.75" customHeight="1" x14ac:dyDescent="0.3">
      <c r="A88" s="23">
        <v>6</v>
      </c>
      <c r="B88" s="115" t="s">
        <v>11</v>
      </c>
      <c r="C88" s="24" t="s">
        <v>23</v>
      </c>
      <c r="D88" s="124">
        <v>10220.1</v>
      </c>
      <c r="E88" s="124">
        <v>10220.1</v>
      </c>
      <c r="F88" s="117">
        <f t="shared" si="61"/>
        <v>4694.3989999999994</v>
      </c>
      <c r="G88" s="116">
        <v>885.63199999999995</v>
      </c>
      <c r="H88" s="116">
        <v>822.51900000000001</v>
      </c>
      <c r="I88" s="116">
        <v>2986.248</v>
      </c>
      <c r="J88" s="116">
        <v>4580.01</v>
      </c>
      <c r="K88" s="116">
        <f t="shared" si="64"/>
        <v>114.38899999999921</v>
      </c>
      <c r="L88" s="193">
        <f t="shared" si="65"/>
        <v>102.49757096600224</v>
      </c>
      <c r="M88" s="116">
        <f t="shared" si="74"/>
        <v>2555.0250000000001</v>
      </c>
      <c r="N88" s="116">
        <f t="shared" si="66"/>
        <v>2139.3739999999993</v>
      </c>
      <c r="O88" s="193">
        <f t="shared" si="67"/>
        <v>183.73201827770762</v>
      </c>
      <c r="P88" s="193">
        <f t="shared" si="68"/>
        <v>45.933004569426906</v>
      </c>
      <c r="Q88" s="117">
        <v>4593.1610000000001</v>
      </c>
      <c r="R88" s="118">
        <f t="shared" si="70"/>
        <v>101.23799999999937</v>
      </c>
      <c r="S88" s="119">
        <f>F88/Q88*100</f>
        <v>102.20410301315368</v>
      </c>
    </row>
    <row r="89" spans="1:20" s="50" customFormat="1" ht="39" customHeight="1" x14ac:dyDescent="0.3">
      <c r="A89" s="48"/>
      <c r="B89" s="85" t="s">
        <v>163</v>
      </c>
      <c r="C89" s="49"/>
      <c r="D89" s="45">
        <f>D78+D82+D83+D85+D86+D87+D88</f>
        <v>213372.508</v>
      </c>
      <c r="E89" s="45">
        <f>E78+E82+E83+E85+E86+E87+E88</f>
        <v>213372.508</v>
      </c>
      <c r="F89" s="45">
        <f t="shared" si="61"/>
        <v>95559.15</v>
      </c>
      <c r="G89" s="45">
        <f>G78+G82+G83+G85+G86+G87+G88</f>
        <v>40463.466999999997</v>
      </c>
      <c r="H89" s="45">
        <f>H78+H82+H83+H85+H86+H87+H88+H81</f>
        <v>30004.808000000001</v>
      </c>
      <c r="I89" s="45">
        <f>I78+I82+I83+I85+I86+I87+I88+I81</f>
        <v>25090.875</v>
      </c>
      <c r="J89" s="45">
        <f>J78+J82+J83+J85+J86+J87+J88</f>
        <v>67566.565999999992</v>
      </c>
      <c r="K89" s="45">
        <f t="shared" si="64"/>
        <v>27992.584000000003</v>
      </c>
      <c r="L89" s="196">
        <f t="shared" si="65"/>
        <v>141.42963843981653</v>
      </c>
      <c r="M89" s="45">
        <f>M78+M82+M83+M85+M86+M87+M88</f>
        <v>53343.127</v>
      </c>
      <c r="N89" s="45">
        <f t="shared" si="66"/>
        <v>42216.022999999994</v>
      </c>
      <c r="O89" s="196">
        <f t="shared" si="67"/>
        <v>179.14051045413964</v>
      </c>
      <c r="P89" s="196">
        <f t="shared" si="68"/>
        <v>44.785127613534911</v>
      </c>
      <c r="Q89" s="45">
        <f>Q78+Q82+Q83+Q85+Q86+Q87+Q88</f>
        <v>63791.546000000002</v>
      </c>
      <c r="R89" s="87">
        <f t="shared" si="70"/>
        <v>31767.603999999992</v>
      </c>
      <c r="S89" s="88">
        <f>F89/Q89*100</f>
        <v>149.79908152719796</v>
      </c>
    </row>
    <row r="90" spans="1:20" s="26" customFormat="1" ht="86.25" customHeight="1" x14ac:dyDescent="0.25">
      <c r="A90" s="23">
        <v>1</v>
      </c>
      <c r="B90" s="59" t="s">
        <v>157</v>
      </c>
      <c r="C90" s="24" t="s">
        <v>71</v>
      </c>
      <c r="D90" s="124">
        <v>17390</v>
      </c>
      <c r="E90" s="124">
        <v>17390</v>
      </c>
      <c r="F90" s="129">
        <f t="shared" si="61"/>
        <v>130.697</v>
      </c>
      <c r="G90" s="124">
        <v>0</v>
      </c>
      <c r="H90" s="124">
        <v>0</v>
      </c>
      <c r="I90" s="124">
        <v>130.697</v>
      </c>
      <c r="J90" s="124">
        <v>17390</v>
      </c>
      <c r="K90" s="124">
        <f t="shared" si="64"/>
        <v>-17259.303</v>
      </c>
      <c r="L90" s="130">
        <f t="shared" si="65"/>
        <v>0.75156411730879813</v>
      </c>
      <c r="M90" s="124">
        <f>J90</f>
        <v>17390</v>
      </c>
      <c r="N90" s="124">
        <f t="shared" si="66"/>
        <v>-17259.303</v>
      </c>
      <c r="O90" s="130">
        <f t="shared" si="67"/>
        <v>0.75156411730879813</v>
      </c>
      <c r="P90" s="130">
        <f t="shared" si="68"/>
        <v>0.75156411730879813</v>
      </c>
      <c r="Q90" s="129">
        <v>0</v>
      </c>
      <c r="R90" s="118">
        <f t="shared" si="70"/>
        <v>130.697</v>
      </c>
      <c r="S90" s="119"/>
    </row>
    <row r="91" spans="1:20" s="26" customFormat="1" ht="39" x14ac:dyDescent="0.25">
      <c r="A91" s="23">
        <f>A90+1</f>
        <v>2</v>
      </c>
      <c r="B91" s="178" t="s">
        <v>206</v>
      </c>
      <c r="C91" s="143" t="s">
        <v>207</v>
      </c>
      <c r="D91" s="124">
        <v>0</v>
      </c>
      <c r="E91" s="124">
        <v>10260.334000000001</v>
      </c>
      <c r="F91" s="129">
        <f t="shared" si="61"/>
        <v>10260.334000000001</v>
      </c>
      <c r="G91" s="124">
        <v>0</v>
      </c>
      <c r="H91" s="124">
        <v>10260.334000000001</v>
      </c>
      <c r="I91" s="124">
        <v>0</v>
      </c>
      <c r="J91" s="124">
        <v>10260.334000000001</v>
      </c>
      <c r="K91" s="124">
        <f t="shared" ref="K91" si="75">F91-J91</f>
        <v>0</v>
      </c>
      <c r="L91" s="130">
        <f t="shared" ref="L91" si="76">F91/J91*100</f>
        <v>100</v>
      </c>
      <c r="M91" s="124">
        <f>J91</f>
        <v>10260.334000000001</v>
      </c>
      <c r="N91" s="124">
        <f t="shared" ref="N91" si="77">F91-M91</f>
        <v>0</v>
      </c>
      <c r="O91" s="130">
        <f t="shared" ref="O91" si="78">F91/M91*100</f>
        <v>100</v>
      </c>
      <c r="P91" s="130">
        <f t="shared" ref="P91" si="79">F91/E91*100</f>
        <v>100</v>
      </c>
      <c r="Q91" s="129"/>
      <c r="R91" s="118"/>
      <c r="S91" s="119"/>
    </row>
    <row r="92" spans="1:20" s="26" customFormat="1" ht="39" x14ac:dyDescent="0.25">
      <c r="A92" s="23">
        <f>A91+1</f>
        <v>3</v>
      </c>
      <c r="B92" s="59" t="s">
        <v>175</v>
      </c>
      <c r="C92" s="24" t="s">
        <v>176</v>
      </c>
      <c r="D92" s="124">
        <v>0</v>
      </c>
      <c r="E92" s="124">
        <v>24369.561000000002</v>
      </c>
      <c r="F92" s="129">
        <f t="shared" si="61"/>
        <v>24369.561000000002</v>
      </c>
      <c r="G92" s="124">
        <v>24369.561000000002</v>
      </c>
      <c r="H92" s="124">
        <v>0</v>
      </c>
      <c r="I92" s="124">
        <v>0</v>
      </c>
      <c r="J92" s="124">
        <v>24369.561000000002</v>
      </c>
      <c r="K92" s="124">
        <f t="shared" si="64"/>
        <v>0</v>
      </c>
      <c r="L92" s="130">
        <f t="shared" si="65"/>
        <v>100</v>
      </c>
      <c r="M92" s="124">
        <f>J92</f>
        <v>24369.561000000002</v>
      </c>
      <c r="N92" s="124">
        <f t="shared" si="66"/>
        <v>0</v>
      </c>
      <c r="O92" s="130">
        <f t="shared" si="67"/>
        <v>100</v>
      </c>
      <c r="P92" s="130">
        <f t="shared" si="68"/>
        <v>100</v>
      </c>
      <c r="Q92" s="129">
        <v>0</v>
      </c>
      <c r="R92" s="118">
        <f t="shared" si="70"/>
        <v>24369.561000000002</v>
      </c>
      <c r="S92" s="119"/>
    </row>
    <row r="93" spans="1:20" s="46" customFormat="1" ht="31.5" customHeight="1" x14ac:dyDescent="0.3">
      <c r="A93" s="43"/>
      <c r="B93" s="47" t="s">
        <v>27</v>
      </c>
      <c r="C93" s="49"/>
      <c r="D93" s="45">
        <f>D94+D97</f>
        <v>17390</v>
      </c>
      <c r="E93" s="45">
        <f>E94+E97</f>
        <v>52019.895000000004</v>
      </c>
      <c r="F93" s="45">
        <f>SUM(G93:I93)</f>
        <v>34760.592000000004</v>
      </c>
      <c r="G93" s="45">
        <f>G94+G97</f>
        <v>24369.561000000002</v>
      </c>
      <c r="H93" s="45">
        <f>H94+H97</f>
        <v>10260.334000000001</v>
      </c>
      <c r="I93" s="45">
        <f>I94+I97</f>
        <v>130.697</v>
      </c>
      <c r="J93" s="45">
        <f>J94+J97</f>
        <v>52019.895000000004</v>
      </c>
      <c r="K93" s="45">
        <f t="shared" si="64"/>
        <v>-17259.303</v>
      </c>
      <c r="L93" s="196">
        <f t="shared" si="65"/>
        <v>66.821726572112468</v>
      </c>
      <c r="M93" s="45">
        <f>M94+M97</f>
        <v>52019.895000000004</v>
      </c>
      <c r="N93" s="45">
        <f t="shared" si="66"/>
        <v>-17259.303</v>
      </c>
      <c r="O93" s="196">
        <f t="shared" si="67"/>
        <v>66.821726572112468</v>
      </c>
      <c r="P93" s="196">
        <f t="shared" si="68"/>
        <v>66.821726572112468</v>
      </c>
      <c r="Q93" s="45">
        <f>Q94+Q97</f>
        <v>0</v>
      </c>
      <c r="R93" s="87">
        <f t="shared" si="70"/>
        <v>34760.592000000004</v>
      </c>
      <c r="S93" s="88"/>
    </row>
    <row r="94" spans="1:20" s="192" customFormat="1" ht="36" customHeight="1" x14ac:dyDescent="0.25">
      <c r="A94" s="33"/>
      <c r="B94" s="190" t="s">
        <v>72</v>
      </c>
      <c r="C94" s="25"/>
      <c r="D94" s="54">
        <f>D95+D96</f>
        <v>17390</v>
      </c>
      <c r="E94" s="54">
        <f>E95+E96</f>
        <v>27650.334000000003</v>
      </c>
      <c r="F94" s="45">
        <f>SUM(G94:I94)</f>
        <v>10391.031000000001</v>
      </c>
      <c r="G94" s="54">
        <f>G95+G96</f>
        <v>0</v>
      </c>
      <c r="H94" s="54">
        <f>H95+H96</f>
        <v>10260.334000000001</v>
      </c>
      <c r="I94" s="54">
        <f>I95+I96</f>
        <v>130.697</v>
      </c>
      <c r="J94" s="54">
        <f>J95+J96</f>
        <v>27650.334000000003</v>
      </c>
      <c r="K94" s="54">
        <f t="shared" si="64"/>
        <v>-17259.303</v>
      </c>
      <c r="L94" s="191">
        <f t="shared" si="65"/>
        <v>37.580128326840459</v>
      </c>
      <c r="M94" s="54">
        <f>M95+M96</f>
        <v>27650.334000000003</v>
      </c>
      <c r="N94" s="54">
        <f t="shared" si="66"/>
        <v>-17259.303</v>
      </c>
      <c r="O94" s="191">
        <f t="shared" si="67"/>
        <v>37.580128326840459</v>
      </c>
      <c r="P94" s="191">
        <f t="shared" si="68"/>
        <v>37.580128326840459</v>
      </c>
      <c r="Q94" s="45">
        <f>Q95+Q96</f>
        <v>0</v>
      </c>
      <c r="R94" s="92">
        <f t="shared" si="70"/>
        <v>10391.031000000001</v>
      </c>
      <c r="S94" s="93"/>
    </row>
    <row r="95" spans="1:20" s="7" customFormat="1" ht="31.5" customHeight="1" x14ac:dyDescent="0.25">
      <c r="A95" s="13"/>
      <c r="B95" s="16" t="s">
        <v>100</v>
      </c>
      <c r="C95" s="16"/>
      <c r="D95" s="125">
        <f>D90</f>
        <v>17390</v>
      </c>
      <c r="E95" s="125">
        <f>E90</f>
        <v>17390</v>
      </c>
      <c r="F95" s="128">
        <f t="shared" si="61"/>
        <v>130.697</v>
      </c>
      <c r="G95" s="125">
        <f>G90</f>
        <v>0</v>
      </c>
      <c r="H95" s="125">
        <f>H90</f>
        <v>0</v>
      </c>
      <c r="I95" s="125">
        <f>I90</f>
        <v>130.697</v>
      </c>
      <c r="J95" s="125">
        <f>J90</f>
        <v>17390</v>
      </c>
      <c r="K95" s="125">
        <f t="shared" si="64"/>
        <v>-17259.303</v>
      </c>
      <c r="L95" s="198">
        <f t="shared" si="65"/>
        <v>0.75156411730879813</v>
      </c>
      <c r="M95" s="125">
        <f>M90</f>
        <v>17390</v>
      </c>
      <c r="N95" s="125">
        <f t="shared" si="66"/>
        <v>-17259.303</v>
      </c>
      <c r="O95" s="198">
        <f t="shared" si="67"/>
        <v>0.75156411730879813</v>
      </c>
      <c r="P95" s="198">
        <f t="shared" si="68"/>
        <v>0.75156411730879813</v>
      </c>
      <c r="Q95" s="128">
        <f>Q90</f>
        <v>0</v>
      </c>
      <c r="R95" s="122">
        <f t="shared" si="70"/>
        <v>130.697</v>
      </c>
      <c r="S95" s="123"/>
    </row>
    <row r="96" spans="1:20" s="7" customFormat="1" ht="31.5" customHeight="1" x14ac:dyDescent="0.25">
      <c r="A96" s="13"/>
      <c r="B96" s="177" t="s">
        <v>99</v>
      </c>
      <c r="C96" s="16"/>
      <c r="D96" s="125"/>
      <c r="E96" s="125">
        <f>E91</f>
        <v>10260.334000000001</v>
      </c>
      <c r="F96" s="128">
        <f t="shared" si="61"/>
        <v>10260.334000000001</v>
      </c>
      <c r="G96" s="125">
        <f>G91</f>
        <v>0</v>
      </c>
      <c r="H96" s="125">
        <f t="shared" ref="H96" si="80">H91</f>
        <v>10260.334000000001</v>
      </c>
      <c r="I96" s="125">
        <f t="shared" ref="I96:J96" si="81">I91</f>
        <v>0</v>
      </c>
      <c r="J96" s="125">
        <f t="shared" si="81"/>
        <v>10260.334000000001</v>
      </c>
      <c r="K96" s="125">
        <f t="shared" si="64"/>
        <v>0</v>
      </c>
      <c r="L96" s="198">
        <f t="shared" si="65"/>
        <v>100</v>
      </c>
      <c r="M96" s="125">
        <f>M91</f>
        <v>10260.334000000001</v>
      </c>
      <c r="N96" s="125">
        <f t="shared" si="66"/>
        <v>0</v>
      </c>
      <c r="O96" s="198">
        <f t="shared" ref="O96" si="82">F96/M96*100</f>
        <v>100</v>
      </c>
      <c r="P96" s="198">
        <f t="shared" ref="P96" si="83">F96/E96*100</f>
        <v>100</v>
      </c>
      <c r="Q96" s="128">
        <v>0</v>
      </c>
      <c r="R96" s="122">
        <f t="shared" si="70"/>
        <v>10260.334000000001</v>
      </c>
      <c r="S96" s="123"/>
    </row>
    <row r="97" spans="1:21" s="192" customFormat="1" ht="43.5" customHeight="1" x14ac:dyDescent="0.25">
      <c r="A97" s="33"/>
      <c r="B97" s="190" t="s">
        <v>177</v>
      </c>
      <c r="C97" s="25"/>
      <c r="D97" s="54">
        <f>D92</f>
        <v>0</v>
      </c>
      <c r="E97" s="54">
        <f>E92</f>
        <v>24369.561000000002</v>
      </c>
      <c r="F97" s="45">
        <f t="shared" si="61"/>
        <v>24369.561000000002</v>
      </c>
      <c r="G97" s="54">
        <v>24369.561000000002</v>
      </c>
      <c r="H97" s="54">
        <v>0</v>
      </c>
      <c r="I97" s="54">
        <v>0</v>
      </c>
      <c r="J97" s="54">
        <f>J92</f>
        <v>24369.561000000002</v>
      </c>
      <c r="K97" s="54">
        <f t="shared" si="64"/>
        <v>0</v>
      </c>
      <c r="L97" s="191">
        <f t="shared" si="65"/>
        <v>100</v>
      </c>
      <c r="M97" s="54">
        <f>M92</f>
        <v>24369.561000000002</v>
      </c>
      <c r="N97" s="54">
        <f t="shared" si="66"/>
        <v>0</v>
      </c>
      <c r="O97" s="191">
        <f t="shared" si="67"/>
        <v>100</v>
      </c>
      <c r="P97" s="191">
        <f t="shared" si="68"/>
        <v>100</v>
      </c>
      <c r="Q97" s="45">
        <f>Q92</f>
        <v>0</v>
      </c>
      <c r="R97" s="92">
        <f t="shared" si="70"/>
        <v>24369.561000000002</v>
      </c>
      <c r="S97" s="93"/>
    </row>
    <row r="98" spans="1:21" s="192" customFormat="1" ht="22.5" x14ac:dyDescent="0.25">
      <c r="A98" s="33"/>
      <c r="B98" s="190"/>
      <c r="C98" s="25"/>
      <c r="D98" s="54"/>
      <c r="E98" s="54"/>
      <c r="F98" s="45"/>
      <c r="G98" s="54"/>
      <c r="H98" s="54"/>
      <c r="I98" s="54"/>
      <c r="J98" s="54"/>
      <c r="K98" s="54"/>
      <c r="L98" s="191"/>
      <c r="M98" s="54"/>
      <c r="N98" s="54"/>
      <c r="O98" s="191"/>
      <c r="P98" s="191"/>
      <c r="Q98" s="45"/>
      <c r="R98" s="92"/>
      <c r="S98" s="93"/>
    </row>
    <row r="99" spans="1:21" s="153" customFormat="1" ht="29.25" customHeight="1" x14ac:dyDescent="0.3">
      <c r="A99" s="146"/>
      <c r="B99" s="147" t="s">
        <v>42</v>
      </c>
      <c r="C99" s="154"/>
      <c r="D99" s="149">
        <f>D89+D93</f>
        <v>230762.508</v>
      </c>
      <c r="E99" s="149">
        <f>E89+E93</f>
        <v>265392.40299999999</v>
      </c>
      <c r="F99" s="149">
        <f t="shared" si="61"/>
        <v>130319.742</v>
      </c>
      <c r="G99" s="149">
        <f>G89+G93</f>
        <v>64833.027999999998</v>
      </c>
      <c r="H99" s="149">
        <f>H89+H93</f>
        <v>40265.142</v>
      </c>
      <c r="I99" s="149">
        <f>I89+I93</f>
        <v>25221.572</v>
      </c>
      <c r="J99" s="149">
        <f>J89+J93</f>
        <v>119586.461</v>
      </c>
      <c r="K99" s="149">
        <f t="shared" si="64"/>
        <v>10733.281000000003</v>
      </c>
      <c r="L99" s="199">
        <f t="shared" si="65"/>
        <v>108.97533124590082</v>
      </c>
      <c r="M99" s="149">
        <f>M89+M93</f>
        <v>105363.022</v>
      </c>
      <c r="N99" s="149">
        <f t="shared" si="66"/>
        <v>24956.720000000001</v>
      </c>
      <c r="O99" s="199">
        <f t="shared" si="67"/>
        <v>123.6864124872956</v>
      </c>
      <c r="P99" s="199">
        <f t="shared" si="68"/>
        <v>49.104548783937872</v>
      </c>
      <c r="Q99" s="149">
        <f>Q89+Q93</f>
        <v>63791.546000000002</v>
      </c>
      <c r="R99" s="150">
        <f>F99-Q99</f>
        <v>66528.195999999996</v>
      </c>
      <c r="S99" s="151">
        <f>F99/Q99*100</f>
        <v>204.28998851979537</v>
      </c>
      <c r="T99" s="149">
        <v>63791.546000000002</v>
      </c>
      <c r="U99" s="149">
        <f>T99-Q99</f>
        <v>0</v>
      </c>
    </row>
    <row r="100" spans="1:21" s="12" customFormat="1" ht="26.25" customHeight="1" x14ac:dyDescent="0.25">
      <c r="A100" s="253" t="s">
        <v>41</v>
      </c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5"/>
    </row>
    <row r="101" spans="1:21" s="153" customFormat="1" ht="36" customHeight="1" x14ac:dyDescent="0.3">
      <c r="A101" s="162"/>
      <c r="B101" s="147" t="s">
        <v>166</v>
      </c>
      <c r="C101" s="154"/>
      <c r="D101" s="149">
        <f>D52+D89</f>
        <v>5433122.8850000007</v>
      </c>
      <c r="E101" s="149">
        <f>E52+E89</f>
        <v>5433122.8850000007</v>
      </c>
      <c r="F101" s="149">
        <f t="shared" si="61"/>
        <v>1345500.1780000003</v>
      </c>
      <c r="G101" s="149">
        <f>G52+G89</f>
        <v>467209.30700000015</v>
      </c>
      <c r="H101" s="149">
        <f>H52+H89</f>
        <v>475494.32199999999</v>
      </c>
      <c r="I101" s="149">
        <f>I52+I89</f>
        <v>402796.54900000012</v>
      </c>
      <c r="J101" s="149">
        <f>J52+J89</f>
        <v>1208727.5550000002</v>
      </c>
      <c r="K101" s="149">
        <f t="shared" ref="K101:K113" si="84">F101-J101</f>
        <v>136772.62300000014</v>
      </c>
      <c r="L101" s="199">
        <f t="shared" ref="L101:L113" si="85">F101/J101*100</f>
        <v>111.31542194386395</v>
      </c>
      <c r="M101" s="149">
        <f>M52+M89</f>
        <v>1358280.7212500002</v>
      </c>
      <c r="N101" s="149">
        <f t="shared" ref="N101:N113" si="86">F101-M101</f>
        <v>-12780.543249999871</v>
      </c>
      <c r="O101" s="199">
        <f t="shared" ref="O101:O113" si="87">F101/M101*100</f>
        <v>99.059064665348558</v>
      </c>
      <c r="P101" s="199">
        <f t="shared" ref="P101:P113" si="88">F101/E101*100</f>
        <v>24.764766166337139</v>
      </c>
      <c r="Q101" s="149">
        <f>Q52+Q89</f>
        <v>1306767.506000001</v>
      </c>
      <c r="R101" s="150">
        <f>F101-Q101</f>
        <v>38732.671999999322</v>
      </c>
      <c r="S101" s="151">
        <f>F101/Q101*100</f>
        <v>102.96400636089886</v>
      </c>
    </row>
    <row r="102" spans="1:21" s="153" customFormat="1" ht="54.75" customHeight="1" x14ac:dyDescent="0.3">
      <c r="A102" s="162"/>
      <c r="B102" s="147" t="s">
        <v>202</v>
      </c>
      <c r="C102" s="154"/>
      <c r="D102" s="149">
        <f>D101</f>
        <v>5433122.8850000007</v>
      </c>
      <c r="E102" s="149">
        <f>E101</f>
        <v>5433122.8850000007</v>
      </c>
      <c r="F102" s="149">
        <f t="shared" si="61"/>
        <v>1345500.1780000003</v>
      </c>
      <c r="G102" s="149">
        <f>G101</f>
        <v>467209.30700000015</v>
      </c>
      <c r="H102" s="149">
        <f>H101</f>
        <v>475494.32199999999</v>
      </c>
      <c r="I102" s="149">
        <f>I101</f>
        <v>402796.54900000012</v>
      </c>
      <c r="J102" s="149">
        <f>J101</f>
        <v>1208727.5550000002</v>
      </c>
      <c r="K102" s="149">
        <f t="shared" ref="K102" si="89">F102-J102</f>
        <v>136772.62300000014</v>
      </c>
      <c r="L102" s="199">
        <f t="shared" ref="L102" si="90">F102/J102*100</f>
        <v>111.31542194386395</v>
      </c>
      <c r="M102" s="149">
        <f>M101</f>
        <v>1358280.7212500002</v>
      </c>
      <c r="N102" s="149">
        <f t="shared" ref="N102" si="91">F102-M102</f>
        <v>-12780.543249999871</v>
      </c>
      <c r="O102" s="199">
        <f t="shared" ref="O102" si="92">F102/M102*100</f>
        <v>99.059064665348558</v>
      </c>
      <c r="P102" s="199">
        <f t="shared" ref="P102" si="93">F102/E102*100</f>
        <v>24.764766166337139</v>
      </c>
      <c r="Q102" s="149">
        <f>Q89+Q53</f>
        <v>1086712.9840000009</v>
      </c>
      <c r="R102" s="150">
        <f>F102-Q102</f>
        <v>258787.19399999944</v>
      </c>
      <c r="S102" s="151">
        <f>F102/Q102*100</f>
        <v>123.81375743275368</v>
      </c>
    </row>
    <row r="103" spans="1:21" s="30" customFormat="1" ht="22.5" hidden="1" x14ac:dyDescent="0.3">
      <c r="A103" s="182"/>
      <c r="B103" s="15"/>
      <c r="C103" s="25"/>
      <c r="D103" s="54"/>
      <c r="E103" s="54"/>
      <c r="F103" s="45">
        <f t="shared" si="61"/>
        <v>0</v>
      </c>
      <c r="G103" s="54"/>
      <c r="H103" s="54"/>
      <c r="I103" s="54"/>
      <c r="J103" s="54"/>
      <c r="K103" s="54"/>
      <c r="L103" s="191"/>
      <c r="M103" s="54"/>
      <c r="N103" s="54"/>
      <c r="O103" s="191"/>
      <c r="P103" s="191"/>
      <c r="Q103" s="45"/>
      <c r="R103" s="92"/>
      <c r="S103" s="93"/>
    </row>
    <row r="104" spans="1:21" s="30" customFormat="1" ht="32.25" hidden="1" customHeight="1" x14ac:dyDescent="0.3">
      <c r="A104" s="182"/>
      <c r="B104" s="165" t="s">
        <v>68</v>
      </c>
      <c r="C104" s="25"/>
      <c r="D104" s="166"/>
      <c r="E104" s="166"/>
      <c r="F104" s="167">
        <f t="shared" si="61"/>
        <v>0</v>
      </c>
      <c r="G104" s="166">
        <v>0</v>
      </c>
      <c r="H104" s="166">
        <v>0</v>
      </c>
      <c r="I104" s="166">
        <v>0</v>
      </c>
      <c r="J104" s="166"/>
      <c r="K104" s="166">
        <f t="shared" si="84"/>
        <v>0</v>
      </c>
      <c r="L104" s="201"/>
      <c r="M104" s="166"/>
      <c r="N104" s="166">
        <f t="shared" si="86"/>
        <v>0</v>
      </c>
      <c r="O104" s="201"/>
      <c r="P104" s="201"/>
      <c r="Q104" s="167">
        <v>-97146</v>
      </c>
      <c r="R104" s="168">
        <f>F104-Q104</f>
        <v>97146</v>
      </c>
      <c r="S104" s="169">
        <f>F104/Q104*100</f>
        <v>0</v>
      </c>
    </row>
    <row r="105" spans="1:21" s="30" customFormat="1" ht="22.5" hidden="1" x14ac:dyDescent="0.3">
      <c r="A105" s="11"/>
      <c r="B105" s="15"/>
      <c r="C105" s="25"/>
      <c r="D105" s="54"/>
      <c r="E105" s="54"/>
      <c r="F105" s="45">
        <f t="shared" si="61"/>
        <v>0</v>
      </c>
      <c r="G105" s="54"/>
      <c r="H105" s="54"/>
      <c r="I105" s="54"/>
      <c r="J105" s="54"/>
      <c r="K105" s="54"/>
      <c r="L105" s="191"/>
      <c r="M105" s="54"/>
      <c r="N105" s="54"/>
      <c r="O105" s="191"/>
      <c r="P105" s="191"/>
      <c r="Q105" s="45"/>
      <c r="R105" s="92"/>
      <c r="S105" s="93"/>
    </row>
    <row r="106" spans="1:21" s="46" customFormat="1" ht="32.25" customHeight="1" x14ac:dyDescent="0.3">
      <c r="A106" s="43"/>
      <c r="B106" s="47" t="s">
        <v>27</v>
      </c>
      <c r="C106" s="49"/>
      <c r="D106" s="45">
        <f>D107+D108+D109+D112</f>
        <v>921893.46699999995</v>
      </c>
      <c r="E106" s="45">
        <f>E107+E108+E109+E112</f>
        <v>957307.89099999995</v>
      </c>
      <c r="F106" s="45">
        <f t="shared" si="61"/>
        <v>237161.014</v>
      </c>
      <c r="G106" s="45">
        <f>G107+G108+G109+G112</f>
        <v>89879.023000000001</v>
      </c>
      <c r="H106" s="45">
        <f>H107+H108+H109+H112</f>
        <v>76455.286999999997</v>
      </c>
      <c r="I106" s="45">
        <f>I107+I108+I109+I112</f>
        <v>70826.703999999998</v>
      </c>
      <c r="J106" s="45">
        <f>J107+J108+J109+J112</f>
        <v>254612.33500000002</v>
      </c>
      <c r="K106" s="45">
        <f t="shared" si="84"/>
        <v>-17451.321000000025</v>
      </c>
      <c r="L106" s="196">
        <f t="shared" si="85"/>
        <v>93.145924764407027</v>
      </c>
      <c r="M106" s="45">
        <f>M107+M108+M109+M112</f>
        <v>254612.33500000002</v>
      </c>
      <c r="N106" s="45">
        <f t="shared" si="86"/>
        <v>-17451.321000000025</v>
      </c>
      <c r="O106" s="196">
        <f t="shared" si="87"/>
        <v>93.145924764407027</v>
      </c>
      <c r="P106" s="196">
        <f t="shared" si="88"/>
        <v>24.773744813934684</v>
      </c>
      <c r="Q106" s="45">
        <f>Q107+Q108+Q109+Q112</f>
        <v>184473.451</v>
      </c>
      <c r="R106" s="87">
        <f t="shared" ref="R106:R114" si="94">F106-Q106</f>
        <v>52687.562999999995</v>
      </c>
      <c r="S106" s="88">
        <f>F106/Q106*100</f>
        <v>128.56105456605783</v>
      </c>
    </row>
    <row r="107" spans="1:21" s="55" customFormat="1" ht="22.5" hidden="1" x14ac:dyDescent="0.3">
      <c r="A107" s="170"/>
      <c r="B107" s="165" t="s">
        <v>149</v>
      </c>
      <c r="C107" s="53"/>
      <c r="D107" s="54">
        <f>D69</f>
        <v>0</v>
      </c>
      <c r="E107" s="54">
        <f>E69</f>
        <v>0</v>
      </c>
      <c r="F107" s="45">
        <f t="shared" si="61"/>
        <v>0</v>
      </c>
      <c r="G107" s="54">
        <f t="shared" ref="G107:J108" si="95">G69</f>
        <v>0</v>
      </c>
      <c r="H107" s="54">
        <f t="shared" ref="H107" si="96">H69</f>
        <v>0</v>
      </c>
      <c r="I107" s="54">
        <f t="shared" si="95"/>
        <v>0</v>
      </c>
      <c r="J107" s="54">
        <f t="shared" si="95"/>
        <v>0</v>
      </c>
      <c r="K107" s="54">
        <f t="shared" si="84"/>
        <v>0</v>
      </c>
      <c r="L107" s="191"/>
      <c r="M107" s="54">
        <f>M69</f>
        <v>0</v>
      </c>
      <c r="N107" s="54">
        <f t="shared" si="86"/>
        <v>0</v>
      </c>
      <c r="O107" s="191"/>
      <c r="P107" s="191"/>
      <c r="Q107" s="45">
        <f>Q69</f>
        <v>2748.9</v>
      </c>
      <c r="R107" s="92">
        <f t="shared" si="94"/>
        <v>-2748.9</v>
      </c>
      <c r="S107" s="93"/>
    </row>
    <row r="108" spans="1:21" s="55" customFormat="1" ht="22.5" hidden="1" x14ac:dyDescent="0.3">
      <c r="A108" s="170"/>
      <c r="B108" s="165" t="s">
        <v>110</v>
      </c>
      <c r="C108" s="53"/>
      <c r="D108" s="54">
        <f>D70</f>
        <v>0</v>
      </c>
      <c r="E108" s="54">
        <f>E70</f>
        <v>561.92399999999998</v>
      </c>
      <c r="F108" s="45">
        <f t="shared" si="61"/>
        <v>561.92399999999998</v>
      </c>
      <c r="G108" s="54">
        <f t="shared" si="95"/>
        <v>0</v>
      </c>
      <c r="H108" s="54">
        <f t="shared" ref="H108" si="97">H70</f>
        <v>561.92399999999998</v>
      </c>
      <c r="I108" s="54">
        <f t="shared" si="95"/>
        <v>0</v>
      </c>
      <c r="J108" s="54">
        <f t="shared" si="95"/>
        <v>561.92399999999998</v>
      </c>
      <c r="K108" s="54">
        <f t="shared" si="84"/>
        <v>0</v>
      </c>
      <c r="L108" s="191"/>
      <c r="M108" s="54">
        <f>M70</f>
        <v>561.92399999999998</v>
      </c>
      <c r="N108" s="54">
        <f t="shared" si="86"/>
        <v>0</v>
      </c>
      <c r="O108" s="191"/>
      <c r="P108" s="191"/>
      <c r="Q108" s="45">
        <f>Q70</f>
        <v>0</v>
      </c>
      <c r="R108" s="92">
        <f t="shared" si="94"/>
        <v>561.92399999999998</v>
      </c>
      <c r="S108" s="93"/>
    </row>
    <row r="109" spans="1:21" s="55" customFormat="1" ht="37.5" customHeight="1" x14ac:dyDescent="0.3">
      <c r="A109" s="170"/>
      <c r="B109" s="56" t="s">
        <v>72</v>
      </c>
      <c r="C109" s="53"/>
      <c r="D109" s="54">
        <f>D110+D111</f>
        <v>921893.46699999995</v>
      </c>
      <c r="E109" s="54">
        <f t="shared" ref="E109" si="98">E110+E111</f>
        <v>932376.40599999996</v>
      </c>
      <c r="F109" s="45">
        <f t="shared" si="61"/>
        <v>212229.52900000001</v>
      </c>
      <c r="G109" s="54">
        <f t="shared" ref="G109:J109" si="99">G110+G111</f>
        <v>65509.462</v>
      </c>
      <c r="H109" s="54">
        <f t="shared" ref="H109:I109" si="100">H110+H111</f>
        <v>75893.362999999998</v>
      </c>
      <c r="I109" s="54">
        <f t="shared" si="100"/>
        <v>70826.703999999998</v>
      </c>
      <c r="J109" s="54">
        <f t="shared" si="99"/>
        <v>229680.85</v>
      </c>
      <c r="K109" s="54">
        <f t="shared" si="84"/>
        <v>-17451.320999999996</v>
      </c>
      <c r="L109" s="191">
        <f t="shared" si="85"/>
        <v>92.401925976850052</v>
      </c>
      <c r="M109" s="54">
        <f t="shared" ref="M109" si="101">M110+M111</f>
        <v>229680.85</v>
      </c>
      <c r="N109" s="54">
        <f t="shared" si="86"/>
        <v>-17451.320999999996</v>
      </c>
      <c r="O109" s="191">
        <f t="shared" si="87"/>
        <v>92.401925976850052</v>
      </c>
      <c r="P109" s="191">
        <f t="shared" si="88"/>
        <v>22.762215735433358</v>
      </c>
      <c r="Q109" s="45">
        <f t="shared" ref="Q109" si="102">Q110+Q111</f>
        <v>181724.55100000001</v>
      </c>
      <c r="R109" s="92">
        <f t="shared" si="94"/>
        <v>30504.978000000003</v>
      </c>
      <c r="S109" s="93">
        <f>F109/Q109*100</f>
        <v>116.78638237493844</v>
      </c>
    </row>
    <row r="110" spans="1:21" s="173" customFormat="1" ht="34.5" customHeight="1" x14ac:dyDescent="0.35">
      <c r="A110" s="171"/>
      <c r="B110" s="172" t="s">
        <v>100</v>
      </c>
      <c r="C110" s="172"/>
      <c r="D110" s="125">
        <f>D72+D95</f>
        <v>896476.1</v>
      </c>
      <c r="E110" s="125">
        <f>E72+E95</f>
        <v>896476.1</v>
      </c>
      <c r="F110" s="128">
        <f t="shared" si="61"/>
        <v>196278.69700000001</v>
      </c>
      <c r="G110" s="125">
        <f>G72+G95</f>
        <v>63808.4</v>
      </c>
      <c r="H110" s="125">
        <f>H72+H95</f>
        <v>63802.3</v>
      </c>
      <c r="I110" s="125">
        <f>I72+I95</f>
        <v>68667.997000000003</v>
      </c>
      <c r="J110" s="125">
        <f>J72+J95</f>
        <v>213538</v>
      </c>
      <c r="K110" s="125">
        <f t="shared" si="84"/>
        <v>-17259.302999999985</v>
      </c>
      <c r="L110" s="198">
        <f t="shared" si="85"/>
        <v>91.917455909486847</v>
      </c>
      <c r="M110" s="125">
        <f>M72+M95</f>
        <v>213538</v>
      </c>
      <c r="N110" s="125">
        <f t="shared" si="86"/>
        <v>-17259.302999999985</v>
      </c>
      <c r="O110" s="198">
        <f t="shared" si="87"/>
        <v>91.917455909486847</v>
      </c>
      <c r="P110" s="198">
        <f t="shared" si="88"/>
        <v>21.894470694756951</v>
      </c>
      <c r="Q110" s="128">
        <f>Q72+Q95</f>
        <v>174347.7</v>
      </c>
      <c r="R110" s="122">
        <f t="shared" si="94"/>
        <v>21930.997000000003</v>
      </c>
      <c r="S110" s="123">
        <f>F110/Q110*100</f>
        <v>112.57888518173742</v>
      </c>
    </row>
    <row r="111" spans="1:21" s="173" customFormat="1" ht="34.5" customHeight="1" x14ac:dyDescent="0.35">
      <c r="A111" s="171"/>
      <c r="B111" s="172" t="s">
        <v>99</v>
      </c>
      <c r="C111" s="172"/>
      <c r="D111" s="125">
        <f>D96+D73</f>
        <v>25417.366999999998</v>
      </c>
      <c r="E111" s="125">
        <f>E96+E73</f>
        <v>35900.305999999997</v>
      </c>
      <c r="F111" s="128">
        <f t="shared" si="61"/>
        <v>15950.832</v>
      </c>
      <c r="G111" s="125">
        <f>G96+G73</f>
        <v>1701.0619999999999</v>
      </c>
      <c r="H111" s="125">
        <f>H96+H73</f>
        <v>12091.063</v>
      </c>
      <c r="I111" s="125">
        <f>I96+I73</f>
        <v>2158.7069999999999</v>
      </c>
      <c r="J111" s="125">
        <f>J96+J73</f>
        <v>16142.850000000002</v>
      </c>
      <c r="K111" s="125">
        <f t="shared" si="84"/>
        <v>-192.01800000000185</v>
      </c>
      <c r="L111" s="198">
        <f t="shared" si="85"/>
        <v>98.810507438277611</v>
      </c>
      <c r="M111" s="125">
        <f>M96+M73</f>
        <v>16142.850000000002</v>
      </c>
      <c r="N111" s="125">
        <f t="shared" si="86"/>
        <v>-192.01800000000185</v>
      </c>
      <c r="O111" s="198">
        <f t="shared" si="87"/>
        <v>98.810507438277611</v>
      </c>
      <c r="P111" s="198">
        <f t="shared" si="88"/>
        <v>44.430908193373064</v>
      </c>
      <c r="Q111" s="128">
        <f>Q96+Q73</f>
        <v>7376.8510000000006</v>
      </c>
      <c r="R111" s="122">
        <f t="shared" si="94"/>
        <v>8573.9809999999998</v>
      </c>
      <c r="S111" s="123">
        <f>F111/Q111*100</f>
        <v>216.22819818375075</v>
      </c>
    </row>
    <row r="112" spans="1:21" s="55" customFormat="1" ht="71.25" customHeight="1" x14ac:dyDescent="0.3">
      <c r="A112" s="170"/>
      <c r="B112" s="56" t="s">
        <v>177</v>
      </c>
      <c r="C112" s="53"/>
      <c r="D112" s="54">
        <f>D97</f>
        <v>0</v>
      </c>
      <c r="E112" s="54">
        <f>E97</f>
        <v>24369.561000000002</v>
      </c>
      <c r="F112" s="45">
        <f t="shared" si="61"/>
        <v>24369.561000000002</v>
      </c>
      <c r="G112" s="54">
        <f>G97</f>
        <v>24369.561000000002</v>
      </c>
      <c r="H112" s="54">
        <f>H97</f>
        <v>0</v>
      </c>
      <c r="I112" s="54">
        <f>I97</f>
        <v>0</v>
      </c>
      <c r="J112" s="54">
        <f>J97</f>
        <v>24369.561000000002</v>
      </c>
      <c r="K112" s="54">
        <f t="shared" si="84"/>
        <v>0</v>
      </c>
      <c r="L112" s="191">
        <f t="shared" si="85"/>
        <v>100</v>
      </c>
      <c r="M112" s="54">
        <f>M97</f>
        <v>24369.561000000002</v>
      </c>
      <c r="N112" s="54">
        <f t="shared" si="86"/>
        <v>0</v>
      </c>
      <c r="O112" s="191">
        <f t="shared" si="87"/>
        <v>100</v>
      </c>
      <c r="P112" s="191">
        <f t="shared" si="88"/>
        <v>100</v>
      </c>
      <c r="Q112" s="45">
        <f>Q97</f>
        <v>0</v>
      </c>
      <c r="R112" s="92">
        <f t="shared" si="94"/>
        <v>24369.561000000002</v>
      </c>
      <c r="S112" s="93"/>
    </row>
    <row r="113" spans="1:21" s="153" customFormat="1" ht="55.5" customHeight="1" x14ac:dyDescent="0.3">
      <c r="A113" s="162"/>
      <c r="B113" s="147" t="s">
        <v>125</v>
      </c>
      <c r="C113" s="154"/>
      <c r="D113" s="149">
        <f>D101+D106</f>
        <v>6355016.3520000009</v>
      </c>
      <c r="E113" s="149">
        <f>E101+E106</f>
        <v>6390430.7760000005</v>
      </c>
      <c r="F113" s="149">
        <f t="shared" si="61"/>
        <v>1582661.1920000003</v>
      </c>
      <c r="G113" s="149">
        <f>G101+G106</f>
        <v>557088.33000000019</v>
      </c>
      <c r="H113" s="149">
        <f>H101+H106</f>
        <v>551949.60899999994</v>
      </c>
      <c r="I113" s="149">
        <f>I101+I106</f>
        <v>473623.25300000014</v>
      </c>
      <c r="J113" s="149">
        <f>J101+J106</f>
        <v>1463339.8900000001</v>
      </c>
      <c r="K113" s="149">
        <f t="shared" si="84"/>
        <v>119321.30200000014</v>
      </c>
      <c r="L113" s="199">
        <f t="shared" si="85"/>
        <v>108.15403877222265</v>
      </c>
      <c r="M113" s="149">
        <f>M101+M106</f>
        <v>1612893.0562500001</v>
      </c>
      <c r="N113" s="149">
        <f t="shared" si="86"/>
        <v>-30231.864249999868</v>
      </c>
      <c r="O113" s="199">
        <f t="shared" si="87"/>
        <v>98.125612598253142</v>
      </c>
      <c r="P113" s="199">
        <f t="shared" si="88"/>
        <v>24.766111197759418</v>
      </c>
      <c r="Q113" s="149">
        <f>Q101+Q106</f>
        <v>1491240.9570000009</v>
      </c>
      <c r="R113" s="150">
        <f t="shared" si="94"/>
        <v>91420.234999999404</v>
      </c>
      <c r="S113" s="151">
        <f>F113/Q113*100</f>
        <v>106.13048042778503</v>
      </c>
      <c r="T113" s="149">
        <v>1491240.9569999999</v>
      </c>
      <c r="U113" s="149">
        <f>T113-Q113</f>
        <v>0</v>
      </c>
    </row>
    <row r="114" spans="1:21" s="153" customFormat="1" ht="86.25" customHeight="1" x14ac:dyDescent="0.3">
      <c r="A114" s="162"/>
      <c r="B114" s="147" t="s">
        <v>192</v>
      </c>
      <c r="C114" s="154"/>
      <c r="D114" s="149">
        <f>D113</f>
        <v>6355016.3520000009</v>
      </c>
      <c r="E114" s="149">
        <f>E113</f>
        <v>6390430.7760000005</v>
      </c>
      <c r="F114" s="149">
        <f t="shared" si="61"/>
        <v>1582661.1920000003</v>
      </c>
      <c r="G114" s="149">
        <f>G113</f>
        <v>557088.33000000019</v>
      </c>
      <c r="H114" s="149">
        <f>H113</f>
        <v>551949.60899999994</v>
      </c>
      <c r="I114" s="149">
        <f>I113</f>
        <v>473623.25300000014</v>
      </c>
      <c r="J114" s="149">
        <f>J113</f>
        <v>1463339.8900000001</v>
      </c>
      <c r="K114" s="149">
        <f t="shared" ref="K114" si="103">F114-J114</f>
        <v>119321.30200000014</v>
      </c>
      <c r="L114" s="199">
        <f t="shared" ref="L114" si="104">F114/J114*100</f>
        <v>108.15403877222265</v>
      </c>
      <c r="M114" s="149">
        <f>M113</f>
        <v>1612893.0562500001</v>
      </c>
      <c r="N114" s="149">
        <f t="shared" ref="N114" si="105">F114-M114</f>
        <v>-30231.864249999868</v>
      </c>
      <c r="O114" s="199">
        <f t="shared" ref="O114" si="106">F114/M114*100</f>
        <v>98.125612598253142</v>
      </c>
      <c r="P114" s="199">
        <f t="shared" ref="P114" si="107">F114/E114*100</f>
        <v>24.766111197759418</v>
      </c>
      <c r="Q114" s="149">
        <f>Q99+Q76</f>
        <v>1271186.435000001</v>
      </c>
      <c r="R114" s="150">
        <f t="shared" si="94"/>
        <v>311474.75699999928</v>
      </c>
      <c r="S114" s="151">
        <f>F114/Q114*100</f>
        <v>124.50268099344524</v>
      </c>
      <c r="T114" s="149"/>
      <c r="U114" s="149"/>
    </row>
    <row r="115" spans="1:21" s="14" customFormat="1" ht="75" customHeight="1" x14ac:dyDescent="0.4">
      <c r="A115" s="34"/>
      <c r="B115" s="241" t="s">
        <v>168</v>
      </c>
      <c r="C115" s="241"/>
      <c r="D115" s="241"/>
      <c r="E115" s="21"/>
      <c r="F115" s="21" t="s">
        <v>90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94"/>
      <c r="S115" s="95"/>
    </row>
    <row r="116" spans="1:21" s="7" customFormat="1" ht="18" customHeight="1" x14ac:dyDescent="0.45">
      <c r="A116" s="6"/>
      <c r="B116" s="29" t="s">
        <v>52</v>
      </c>
      <c r="C116" s="18"/>
      <c r="D116" s="18"/>
      <c r="E116" s="18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96"/>
      <c r="S116" s="97"/>
    </row>
    <row r="117" spans="1:21" s="7" customFormat="1" ht="30.75" x14ac:dyDescent="0.45">
      <c r="A117" s="6"/>
      <c r="B117" s="18"/>
      <c r="C117" s="18"/>
      <c r="D117" s="18"/>
      <c r="E117" s="136"/>
      <c r="F117" s="58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58"/>
      <c r="R117" s="96"/>
      <c r="S117" s="97"/>
    </row>
    <row r="118" spans="1:21" s="4" customFormat="1" ht="30.75" hidden="1" customHeight="1" x14ac:dyDescent="0.45">
      <c r="A118" s="27"/>
      <c r="B118" s="18"/>
      <c r="C118" s="18"/>
      <c r="D118" s="112">
        <v>6355016.352</v>
      </c>
      <c r="E118" s="112">
        <v>6390430.7759999996</v>
      </c>
      <c r="F118" s="64">
        <v>1582661.192</v>
      </c>
      <c r="G118" s="113"/>
      <c r="H118" s="113"/>
      <c r="I118" s="113"/>
      <c r="J118" s="64">
        <v>1463339.89</v>
      </c>
      <c r="K118" s="113"/>
      <c r="L118" s="113"/>
      <c r="M118" s="113"/>
      <c r="N118" s="113"/>
      <c r="O118" s="113"/>
      <c r="P118" s="113"/>
      <c r="Q118" s="64"/>
      <c r="R118" s="5"/>
    </row>
    <row r="119" spans="1:21" ht="12" hidden="1" customHeight="1" x14ac:dyDescent="0.45">
      <c r="B119" s="29"/>
      <c r="C119" s="20"/>
      <c r="D119" s="20"/>
      <c r="E119" s="20"/>
      <c r="F119" s="58"/>
      <c r="G119" s="20"/>
      <c r="H119" s="20"/>
      <c r="I119" s="20"/>
      <c r="J119" s="58"/>
      <c r="K119" s="20"/>
      <c r="L119" s="20"/>
      <c r="M119" s="20"/>
      <c r="N119" s="20"/>
      <c r="O119" s="20"/>
      <c r="P119" s="20"/>
      <c r="Q119" s="58"/>
    </row>
    <row r="120" spans="1:21" s="2" customFormat="1" ht="30.75" hidden="1" customHeight="1" x14ac:dyDescent="0.45">
      <c r="A120" s="28"/>
      <c r="B120" s="18"/>
      <c r="C120" s="18"/>
      <c r="D120" s="18"/>
      <c r="E120" s="18"/>
      <c r="F120" s="58"/>
      <c r="G120" s="20"/>
      <c r="H120" s="20"/>
      <c r="I120" s="20"/>
      <c r="J120" s="58"/>
      <c r="K120" s="20"/>
      <c r="L120" s="20"/>
      <c r="M120" s="20"/>
      <c r="N120" s="20"/>
      <c r="O120" s="20"/>
      <c r="P120" s="20"/>
      <c r="Q120" s="58"/>
      <c r="R120" s="186"/>
    </row>
    <row r="121" spans="1:21" s="2" customFormat="1" ht="30.75" hidden="1" customHeight="1" x14ac:dyDescent="0.45">
      <c r="A121" s="28"/>
      <c r="B121" s="18"/>
      <c r="C121" s="18"/>
      <c r="D121" s="18"/>
      <c r="E121" s="18"/>
      <c r="F121" s="58"/>
      <c r="G121" s="20"/>
      <c r="H121" s="20"/>
      <c r="I121" s="20"/>
      <c r="J121" s="58"/>
      <c r="K121" s="20"/>
      <c r="L121" s="20"/>
      <c r="M121" s="20"/>
      <c r="N121" s="20"/>
      <c r="O121" s="20"/>
      <c r="P121" s="20"/>
      <c r="Q121" s="58"/>
      <c r="R121" s="186"/>
    </row>
    <row r="122" spans="1:21" s="2" customFormat="1" ht="16.5" hidden="1" customHeight="1" x14ac:dyDescent="0.45">
      <c r="A122" s="28"/>
      <c r="B122" s="29"/>
      <c r="C122" s="20"/>
      <c r="D122" s="20"/>
      <c r="E122" s="20"/>
      <c r="F122" s="58"/>
      <c r="G122" s="20"/>
      <c r="H122" s="20"/>
      <c r="I122" s="20"/>
      <c r="J122" s="58"/>
      <c r="K122" s="20"/>
      <c r="L122" s="20"/>
      <c r="M122" s="20"/>
      <c r="N122" s="20"/>
      <c r="O122" s="20"/>
      <c r="P122" s="20"/>
      <c r="Q122" s="58"/>
      <c r="R122" s="186"/>
    </row>
    <row r="123" spans="1:21" ht="18.75" hidden="1" x14ac:dyDescent="0.3">
      <c r="B123" s="27"/>
      <c r="D123" s="112">
        <f>D118-D113</f>
        <v>0</v>
      </c>
      <c r="E123" s="112">
        <f>E118-E113</f>
        <v>0</v>
      </c>
      <c r="F123" s="112">
        <f>F118-F113</f>
        <v>0</v>
      </c>
      <c r="G123" s="31"/>
      <c r="H123" s="31"/>
      <c r="I123" s="31"/>
      <c r="J123" s="112">
        <f>J114-J118</f>
        <v>0</v>
      </c>
      <c r="K123" s="31"/>
      <c r="L123" s="31"/>
      <c r="M123" s="31"/>
      <c r="N123" s="31"/>
      <c r="O123" s="31"/>
      <c r="P123" s="31"/>
      <c r="Q123" s="112"/>
    </row>
    <row r="124" spans="1:21" ht="18.75" hidden="1" x14ac:dyDescent="0.3">
      <c r="B124" s="27"/>
      <c r="D124" s="64"/>
      <c r="E124" s="64">
        <v>6341594.04</v>
      </c>
      <c r="F124" s="64">
        <v>6497781.0829999996</v>
      </c>
    </row>
    <row r="125" spans="1:21" ht="18.75" hidden="1" x14ac:dyDescent="0.3">
      <c r="B125" s="27"/>
      <c r="D125" s="112"/>
      <c r="E125" s="112">
        <f>E124-E113</f>
        <v>-48836.736000000499</v>
      </c>
      <c r="F125" s="112">
        <f>F124-F113</f>
        <v>4915119.8909999989</v>
      </c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112"/>
    </row>
    <row r="126" spans="1:21" ht="18.75" hidden="1" x14ac:dyDescent="0.3">
      <c r="B126" s="4"/>
      <c r="C126" s="3"/>
      <c r="D126" s="3"/>
      <c r="E126" s="3"/>
      <c r="F126" s="3"/>
      <c r="K126" s="228" t="s">
        <v>49</v>
      </c>
      <c r="L126" s="228"/>
      <c r="M126" s="210">
        <f>E52/12*3</f>
        <v>1304937.5942500001</v>
      </c>
      <c r="Q126" s="3"/>
    </row>
    <row r="127" spans="1:21" ht="22.5" hidden="1" x14ac:dyDescent="0.3">
      <c r="B127" s="4"/>
      <c r="C127" s="3"/>
      <c r="D127" s="3"/>
      <c r="E127" s="137"/>
      <c r="F127" s="137"/>
      <c r="K127" s="186"/>
      <c r="L127" s="186"/>
      <c r="M127" s="210">
        <f>M126-M52</f>
        <v>0</v>
      </c>
      <c r="Q127" s="137"/>
    </row>
    <row r="128" spans="1:21" ht="18.75" hidden="1" x14ac:dyDescent="0.3">
      <c r="B128" s="4"/>
      <c r="C128" s="3"/>
      <c r="D128" s="3"/>
      <c r="E128" s="3"/>
      <c r="K128" s="228" t="s">
        <v>50</v>
      </c>
      <c r="L128" s="228"/>
      <c r="M128" s="211">
        <f>E89/12*3</f>
        <v>53343.127000000008</v>
      </c>
    </row>
    <row r="129" spans="2:44" ht="18.75" hidden="1" x14ac:dyDescent="0.3">
      <c r="B129" s="4"/>
      <c r="C129" s="3"/>
      <c r="D129" s="3"/>
      <c r="E129" s="3"/>
      <c r="K129" s="186"/>
      <c r="L129" s="186"/>
      <c r="M129" s="210">
        <f>M128-M89</f>
        <v>0</v>
      </c>
    </row>
    <row r="130" spans="2:44" ht="18.75" hidden="1" x14ac:dyDescent="0.3">
      <c r="B130" s="139"/>
      <c r="C130" s="3"/>
      <c r="D130" s="3"/>
      <c r="E130" s="3"/>
      <c r="K130" s="228" t="s">
        <v>51</v>
      </c>
      <c r="L130" s="228"/>
      <c r="M130" s="210">
        <f>M128+M93</f>
        <v>105363.02200000001</v>
      </c>
    </row>
    <row r="131" spans="2:44" ht="18.75" hidden="1" x14ac:dyDescent="0.3">
      <c r="B131" s="4"/>
      <c r="C131" s="3"/>
      <c r="D131" s="3"/>
      <c r="E131" s="3"/>
      <c r="K131" s="186"/>
      <c r="L131" s="186"/>
      <c r="M131" s="210">
        <f>M130-M99</f>
        <v>0</v>
      </c>
    </row>
    <row r="132" spans="2:44" s="19" customFormat="1" ht="18.75" x14ac:dyDescent="0.3">
      <c r="B132" s="4"/>
      <c r="C132" s="3"/>
      <c r="D132" s="3"/>
      <c r="E132" s="3"/>
      <c r="F132" s="3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1"/>
      <c r="R132" s="1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spans="2:44" s="19" customFormat="1" ht="18.75" x14ac:dyDescent="0.3">
      <c r="B133" s="4"/>
      <c r="C133" s="3"/>
      <c r="D133" s="3"/>
      <c r="E133" s="113"/>
      <c r="F133" s="140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140"/>
      <c r="R133" s="1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spans="2:44" s="19" customFormat="1" ht="18.75" x14ac:dyDescent="0.3">
      <c r="B134" s="4"/>
      <c r="C134" s="3"/>
      <c r="D134" s="141"/>
      <c r="E134" s="3"/>
      <c r="F134" s="3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1"/>
      <c r="R134" s="1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spans="2:44" s="19" customFormat="1" ht="18.75" x14ac:dyDescent="0.3">
      <c r="B135" s="4"/>
      <c r="C135" s="3"/>
      <c r="D135" s="3"/>
      <c r="E135" s="3"/>
      <c r="F135" s="3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1"/>
      <c r="R135" s="1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spans="2:44" s="19" customFormat="1" ht="22.5" x14ac:dyDescent="0.3">
      <c r="B136" s="4"/>
      <c r="C136" s="3"/>
      <c r="D136" s="138"/>
      <c r="E136" s="3"/>
      <c r="F136" s="3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1"/>
      <c r="R136" s="1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spans="2:44" s="19" customFormat="1" ht="18.75" x14ac:dyDescent="0.3">
      <c r="B137" s="4"/>
      <c r="C137" s="3"/>
      <c r="D137" s="3"/>
      <c r="E137" s="3"/>
      <c r="F137" s="140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140"/>
      <c r="R137" s="1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spans="2:44" s="19" customFormat="1" ht="18.75" x14ac:dyDescent="0.3">
      <c r="B138" s="4"/>
      <c r="C138" s="3"/>
      <c r="D138" s="3"/>
      <c r="E138" s="3"/>
      <c r="F138" s="3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1"/>
      <c r="R138" s="1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spans="2:44" s="19" customFormat="1" ht="18.75" x14ac:dyDescent="0.3">
      <c r="B139" s="4"/>
      <c r="C139" s="3"/>
      <c r="D139" s="3"/>
      <c r="E139" s="3"/>
      <c r="F139" s="3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1"/>
      <c r="R139" s="1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spans="2:44" s="19" customFormat="1" ht="18.75" x14ac:dyDescent="0.3">
      <c r="B140" s="27"/>
      <c r="F140" s="3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1"/>
      <c r="R140" s="1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spans="2:44" s="19" customFormat="1" ht="18.75" x14ac:dyDescent="0.3">
      <c r="B141" s="27"/>
      <c r="F141" s="3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1"/>
      <c r="R141" s="1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</sheetData>
  <mergeCells count="33">
    <mergeCell ref="A1:S1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I3:I4"/>
    <mergeCell ref="R3:R4"/>
    <mergeCell ref="S3:S4"/>
    <mergeCell ref="A6:S6"/>
    <mergeCell ref="A7:A9"/>
    <mergeCell ref="B9:C9"/>
    <mergeCell ref="L3:L4"/>
    <mergeCell ref="M3:M4"/>
    <mergeCell ref="N3:N4"/>
    <mergeCell ref="O3:O4"/>
    <mergeCell ref="P3:P4"/>
    <mergeCell ref="Q3:Q4"/>
    <mergeCell ref="H3:H4"/>
    <mergeCell ref="B115:D115"/>
    <mergeCell ref="K126:L126"/>
    <mergeCell ref="K128:L128"/>
    <mergeCell ref="K130:L130"/>
    <mergeCell ref="C17:C19"/>
    <mergeCell ref="C25:C27"/>
    <mergeCell ref="A52:C52"/>
    <mergeCell ref="A53:C53"/>
    <mergeCell ref="A100:S100"/>
    <mergeCell ref="A77:S77"/>
  </mergeCells>
  <printOptions horizontalCentered="1"/>
  <pageMargins left="0.39370078740157483" right="0" top="0" bottom="0" header="0.23622047244094491" footer="0.11811023622047245"/>
  <pageSetup paperSize="8" scale="61" fitToHeight="6" orientation="landscape" horizontalDpi="300" verticalDpi="300" r:id="rId1"/>
  <headerFooter alignWithMargins="0"/>
  <rowBreaks count="1" manualBreakCount="1">
    <brk id="76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2023</vt:lpstr>
      <vt:lpstr>2023 (2)</vt:lpstr>
      <vt:lpstr>'2023'!Заголовки_для_друку</vt:lpstr>
      <vt:lpstr>'2023 (2)'!Заголовки_для_друку</vt:lpstr>
      <vt:lpstr>'2023'!Область_друку</vt:lpstr>
      <vt:lpstr>'2023 (2)'!Область_друку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2024-04-01T07:03:00Z</cp:lastPrinted>
  <dcterms:created xsi:type="dcterms:W3CDTF">1996-10-08T23:32:33Z</dcterms:created>
  <dcterms:modified xsi:type="dcterms:W3CDTF">2024-04-03T05:58:19Z</dcterms:modified>
</cp:coreProperties>
</file>